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F23DBF6F-A79B-4F0C-AEE0-3D82BA0883F0}" xr6:coauthVersionLast="47" xr6:coauthVersionMax="47" xr10:uidLastSave="{00000000-0000-0000-0000-000000000000}"/>
  <bookViews>
    <workbookView xWindow="-120" yWindow="-120" windowWidth="20730" windowHeight="11160" tabRatio="594" firstSheet="2" activeTab="14" xr2:uid="{00000000-000D-0000-FFFF-FFFF00000000}"/>
  </bookViews>
  <sheets>
    <sheet name="MEF format (Annex 1)" sheetId="9" state="hidden" r:id="rId1"/>
    <sheet name="OVER VIEW (Annex 2)" sheetId="17" state="hidden" r:id="rId2"/>
    <sheet name="Instruction" sheetId="24" r:id="rId3"/>
    <sheet name="DMF PI Links Physical Prog.S1" sheetId="25" r:id="rId4"/>
    <sheet name="1. MEF Progress Interpretation" sheetId="29" state="hidden" r:id="rId5"/>
    <sheet name="1. MEF Progress" sheetId="19" r:id="rId6"/>
    <sheet name="2. IAs Progress" sheetId="21" r:id="rId7"/>
    <sheet name="3. DMF Progress" sheetId="18" r:id="rId8"/>
    <sheet name="Output 1" sheetId="14" r:id="rId9"/>
    <sheet name="Output 2 " sheetId="15" r:id="rId10"/>
    <sheet name="Output 3" sheetId="22" r:id="rId11"/>
    <sheet name="DMF PI 1st 6Ms Report 2021" sheetId="26" r:id="rId12"/>
    <sheet name="DMF PI Q3 Report 2021" sheetId="30" r:id="rId13"/>
    <sheet name="DMF PI Q4 Report 2021" sheetId="31" r:id="rId14"/>
    <sheet name="GAP PI 1st 6Ms Report 2021-1" sheetId="27" r:id="rId15"/>
    <sheet name="Curves" sheetId="28" state="hidden" r:id="rId16"/>
  </sheets>
  <externalReferences>
    <externalReference r:id="rId17"/>
    <externalReference r:id="rId18"/>
  </externalReferences>
  <definedNames>
    <definedName name="_xlnm.Print_Area" localSheetId="5">'1. MEF Progress'!$A$1:$R$20</definedName>
    <definedName name="_xlnm.Print_Area" localSheetId="4">'1. MEF Progress Interpretation'!$A$1:$AP$20</definedName>
    <definedName name="_xlnm.Print_Area" localSheetId="6">'2. IAs Progress'!$B$1:$AQ$59</definedName>
    <definedName name="_xlnm.Print_Area" localSheetId="7">'3. DMF Progress'!$A$1:$AU$38</definedName>
    <definedName name="_xlnm.Print_Area" localSheetId="15">Curves!$A$1:$I$42</definedName>
    <definedName name="_xlnm.Print_Area" localSheetId="11">'DMF PI 1st 6Ms Report 2021'!$A$1:$AG$200</definedName>
    <definedName name="_xlnm.Print_Area" localSheetId="3">'DMF PI Links Physical Prog.S1'!$A$1:$AI$200</definedName>
    <definedName name="_xlnm.Print_Area" localSheetId="12">'DMF PI Q3 Report 2021'!$A$1:$AH$198</definedName>
    <definedName name="_xlnm.Print_Area" localSheetId="13">'DMF PI Q4 Report 2021'!$A$1:$AI$198</definedName>
    <definedName name="_xlnm.Print_Area" localSheetId="14">'GAP PI 1st 6Ms Report 2021-1'!$A$1:$AG$200</definedName>
    <definedName name="_xlnm.Print_Area" localSheetId="2">Instruction!$A$1:$C$19</definedName>
    <definedName name="_xlnm.Print_Area" localSheetId="0">'MEF format (Annex 1)'!$B$1:$AE$21</definedName>
    <definedName name="_xlnm.Print_Area" localSheetId="8">'Output 1'!$A$1:$FB$59</definedName>
    <definedName name="_xlnm.Print_Area" localSheetId="9">'Output 2 '!$B$1:$FC$57</definedName>
    <definedName name="_xlnm.Print_Area" localSheetId="10">'Output 3'!$A$1:$FA$46</definedName>
    <definedName name="_xlnm.Print_Area" localSheetId="1">'OVER VIEW (Annex 2)'!$B$1:$Z$46</definedName>
    <definedName name="_xlnm.Print_Titles" localSheetId="6">'2. IAs Progress'!$B:$D,'2. IAs Progress'!$5:$6</definedName>
    <definedName name="_xlnm.Print_Titles" localSheetId="7">'3. DMF Progress'!$B:$AA,'3. DMF Progress'!$5:$7</definedName>
    <definedName name="_xlnm.Print_Titles" localSheetId="11">'DMF PI 1st 6Ms Report 2021'!$7:$9</definedName>
    <definedName name="_xlnm.Print_Titles" localSheetId="3">'DMF PI Links Physical Prog.S1'!$7:$9</definedName>
    <definedName name="_xlnm.Print_Titles" localSheetId="12">'DMF PI Q3 Report 2021'!$7:$9</definedName>
    <definedName name="_xlnm.Print_Titles" localSheetId="13">'DMF PI Q4 Report 2021'!$7:$9</definedName>
    <definedName name="_xlnm.Print_Titles" localSheetId="14">'GAP PI 1st 6Ms Report 2021-1'!$7:$9</definedName>
    <definedName name="_xlnm.Print_Titles" localSheetId="8">'Output 1'!$A:$N,'Output 1'!$5:$8</definedName>
    <definedName name="_xlnm.Print_Titles" localSheetId="10">'Output 3'!$A:$N,'Output 3'!$5:$8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24" i="30" l="1"/>
  <c r="AB42" i="30"/>
  <c r="AB43" i="30"/>
  <c r="AB45" i="30"/>
  <c r="AI198" i="31" l="1"/>
  <c r="AB198" i="31"/>
  <c r="AI197" i="31"/>
  <c r="AB197" i="31"/>
  <c r="AI196" i="31"/>
  <c r="AB196" i="31"/>
  <c r="AI195" i="31"/>
  <c r="AB195" i="31"/>
  <c r="AI194" i="31"/>
  <c r="AB194" i="31"/>
  <c r="AI193" i="31"/>
  <c r="AB193" i="31"/>
  <c r="AI192" i="31"/>
  <c r="AB192" i="31"/>
  <c r="AI191" i="31"/>
  <c r="AB191" i="31"/>
  <c r="AI190" i="31"/>
  <c r="AB190" i="31"/>
  <c r="AI189" i="31"/>
  <c r="AB189" i="31"/>
  <c r="AI188" i="31"/>
  <c r="AB188" i="31"/>
  <c r="AI187" i="31"/>
  <c r="AB187" i="31"/>
  <c r="AI186" i="31"/>
  <c r="AB186" i="31"/>
  <c r="AI185" i="31"/>
  <c r="AB185" i="31"/>
  <c r="AI184" i="31"/>
  <c r="AB184" i="31"/>
  <c r="AI183" i="31"/>
  <c r="AB183" i="31"/>
  <c r="AI182" i="31"/>
  <c r="AB182" i="31"/>
  <c r="AI181" i="31"/>
  <c r="AB181" i="31"/>
  <c r="AI180" i="31"/>
  <c r="AB180" i="31"/>
  <c r="AI179" i="31"/>
  <c r="AB179" i="31"/>
  <c r="AI178" i="31"/>
  <c r="AB178" i="31"/>
  <c r="AI177" i="31"/>
  <c r="AB177" i="31"/>
  <c r="AI176" i="31"/>
  <c r="AB176" i="31"/>
  <c r="AI175" i="31"/>
  <c r="AB175" i="31"/>
  <c r="AI174" i="31"/>
  <c r="AB174" i="31"/>
  <c r="AI173" i="31"/>
  <c r="AB173" i="31"/>
  <c r="AI172" i="31"/>
  <c r="AB172" i="31"/>
  <c r="AI171" i="31"/>
  <c r="AB171" i="31"/>
  <c r="AI170" i="31"/>
  <c r="AB170" i="31"/>
  <c r="AI169" i="31"/>
  <c r="AB169" i="31"/>
  <c r="AI168" i="31"/>
  <c r="AB168" i="31"/>
  <c r="AI167" i="31"/>
  <c r="AB167" i="31"/>
  <c r="AI166" i="31"/>
  <c r="AB166" i="31"/>
  <c r="AI165" i="31"/>
  <c r="AB165" i="31"/>
  <c r="AI164" i="31"/>
  <c r="AB164" i="31"/>
  <c r="AI163" i="31"/>
  <c r="AB163" i="31"/>
  <c r="AI162" i="31"/>
  <c r="AB162" i="31"/>
  <c r="AI161" i="31"/>
  <c r="AB161" i="31"/>
  <c r="AI160" i="31"/>
  <c r="AB160" i="31"/>
  <c r="AI159" i="31"/>
  <c r="AB159" i="31"/>
  <c r="AI158" i="31"/>
  <c r="AB158" i="31"/>
  <c r="AI157" i="31"/>
  <c r="AB157" i="31"/>
  <c r="AI156" i="31"/>
  <c r="AB156" i="31"/>
  <c r="AI155" i="31"/>
  <c r="AB155" i="31"/>
  <c r="AI154" i="31"/>
  <c r="AB154" i="31"/>
  <c r="AI153" i="31"/>
  <c r="AB153" i="31"/>
  <c r="AI152" i="31"/>
  <c r="AB152" i="31"/>
  <c r="AI151" i="31"/>
  <c r="AB151" i="31"/>
  <c r="AI150" i="31"/>
  <c r="AB150" i="31"/>
  <c r="AI149" i="31"/>
  <c r="AB149" i="31"/>
  <c r="AI148" i="31"/>
  <c r="AB148" i="31"/>
  <c r="AI147" i="31"/>
  <c r="AB147" i="31"/>
  <c r="AI146" i="31"/>
  <c r="AB146" i="31"/>
  <c r="AI145" i="31"/>
  <c r="AB145" i="31"/>
  <c r="AI144" i="31"/>
  <c r="AB144" i="31"/>
  <c r="AI143" i="31"/>
  <c r="AB143" i="31"/>
  <c r="AI142" i="31"/>
  <c r="AB142" i="31"/>
  <c r="AI141" i="31"/>
  <c r="AB141" i="31"/>
  <c r="AI140" i="31"/>
  <c r="AB140" i="31"/>
  <c r="AI139" i="31"/>
  <c r="AB139" i="31"/>
  <c r="AG138" i="31"/>
  <c r="AI138" i="31" s="1"/>
  <c r="Z138" i="31"/>
  <c r="AB138" i="31" s="1"/>
  <c r="AG137" i="31"/>
  <c r="Z137" i="31"/>
  <c r="AG136" i="31"/>
  <c r="AI136" i="31" s="1"/>
  <c r="AB136" i="31"/>
  <c r="Z136" i="31"/>
  <c r="AG135" i="31"/>
  <c r="Z135" i="31"/>
  <c r="AI134" i="31"/>
  <c r="AG134" i="31"/>
  <c r="Z134" i="31"/>
  <c r="AB134" i="31" s="1"/>
  <c r="AG133" i="31"/>
  <c r="AI133" i="31" s="1"/>
  <c r="Z133" i="31"/>
  <c r="AB133" i="31" s="1"/>
  <c r="AG132" i="31"/>
  <c r="AI132" i="31" s="1"/>
  <c r="Z132" i="31"/>
  <c r="AB132" i="31" s="1"/>
  <c r="AG131" i="31"/>
  <c r="AI131" i="31" s="1"/>
  <c r="Z131" i="31"/>
  <c r="AB131" i="31" s="1"/>
  <c r="AG129" i="31"/>
  <c r="AI129" i="31" s="1"/>
  <c r="Z129" i="31"/>
  <c r="AB129" i="31" s="1"/>
  <c r="AG128" i="31"/>
  <c r="Z128" i="31"/>
  <c r="AG127" i="31"/>
  <c r="Z127" i="31"/>
  <c r="AG126" i="31"/>
  <c r="AI126" i="31" s="1"/>
  <c r="Z126" i="31"/>
  <c r="AB126" i="31" s="1"/>
  <c r="AG125" i="31"/>
  <c r="AI125" i="31" s="1"/>
  <c r="Z125" i="31"/>
  <c r="AB125" i="31" s="1"/>
  <c r="N125" i="31"/>
  <c r="AG124" i="31"/>
  <c r="AI124" i="31" s="1"/>
  <c r="Z124" i="31"/>
  <c r="AB124" i="31" s="1"/>
  <c r="N124" i="31"/>
  <c r="AG121" i="31"/>
  <c r="Z121" i="31"/>
  <c r="AG120" i="31"/>
  <c r="Z120" i="31"/>
  <c r="AG119" i="31"/>
  <c r="AI119" i="31" s="1"/>
  <c r="Z119" i="31"/>
  <c r="AB119" i="31" s="1"/>
  <c r="AG117" i="31"/>
  <c r="Z117" i="31"/>
  <c r="AG116" i="31"/>
  <c r="Z116" i="31"/>
  <c r="AG115" i="31"/>
  <c r="AI115" i="31" s="1"/>
  <c r="Z115" i="31"/>
  <c r="AB115" i="31" s="1"/>
  <c r="AG114" i="31"/>
  <c r="Z114" i="31"/>
  <c r="AG113" i="31"/>
  <c r="Z113" i="31"/>
  <c r="AG112" i="31"/>
  <c r="Z112" i="31"/>
  <c r="AG111" i="31"/>
  <c r="AI111" i="31" s="1"/>
  <c r="Z111" i="31"/>
  <c r="AB111" i="31" s="1"/>
  <c r="AG110" i="31"/>
  <c r="Z110" i="31"/>
  <c r="AG109" i="31"/>
  <c r="Z109" i="31"/>
  <c r="AG108" i="31"/>
  <c r="Z108" i="31"/>
  <c r="AG107" i="31"/>
  <c r="Z107" i="31"/>
  <c r="AG106" i="31"/>
  <c r="Z106" i="31"/>
  <c r="N106" i="31"/>
  <c r="AG105" i="31"/>
  <c r="Z105" i="31"/>
  <c r="N105" i="31"/>
  <c r="AG104" i="31"/>
  <c r="AI104" i="31" s="1"/>
  <c r="AB104" i="31"/>
  <c r="Z104" i="31"/>
  <c r="AG103" i="31"/>
  <c r="Z103" i="31"/>
  <c r="AG102" i="31"/>
  <c r="Z102" i="31"/>
  <c r="AG101" i="31"/>
  <c r="AI101" i="31" s="1"/>
  <c r="Z101" i="31"/>
  <c r="AB101" i="31" s="1"/>
  <c r="AG98" i="31"/>
  <c r="Z98" i="31"/>
  <c r="AG97" i="31"/>
  <c r="Z97" i="31"/>
  <c r="AG96" i="31"/>
  <c r="AI96" i="31" s="1"/>
  <c r="Z96" i="31"/>
  <c r="AB96" i="31" s="1"/>
  <c r="AG95" i="31"/>
  <c r="Z95" i="31"/>
  <c r="N95" i="31"/>
  <c r="M95" i="31"/>
  <c r="AG94" i="31"/>
  <c r="Z94" i="31"/>
  <c r="N94" i="31"/>
  <c r="M94" i="31"/>
  <c r="AG93" i="31"/>
  <c r="Z93" i="31"/>
  <c r="AI92" i="31"/>
  <c r="AG92" i="31"/>
  <c r="Z92" i="31"/>
  <c r="AB92" i="31" s="1"/>
  <c r="AG90" i="31"/>
  <c r="AI90" i="31" s="1"/>
  <c r="Z90" i="31"/>
  <c r="AB90" i="31" s="1"/>
  <c r="AG89" i="31"/>
  <c r="Z89" i="31"/>
  <c r="AG88" i="31"/>
  <c r="Z88" i="31"/>
  <c r="AG87" i="31"/>
  <c r="Z87" i="31"/>
  <c r="AG86" i="31"/>
  <c r="AI86" i="31" s="1"/>
  <c r="Z86" i="31"/>
  <c r="AB86" i="31" s="1"/>
  <c r="AG84" i="31"/>
  <c r="Z84" i="31"/>
  <c r="AG83" i="31"/>
  <c r="Z83" i="31"/>
  <c r="AG82" i="31"/>
  <c r="Z82" i="31"/>
  <c r="AG81" i="31"/>
  <c r="Z81" i="31"/>
  <c r="AG80" i="31"/>
  <c r="Z80" i="31"/>
  <c r="AG79" i="31"/>
  <c r="AI79" i="31" s="1"/>
  <c r="Z79" i="31"/>
  <c r="AB79" i="31" s="1"/>
  <c r="AG78" i="31"/>
  <c r="AI78" i="31" s="1"/>
  <c r="Z78" i="31"/>
  <c r="AB78" i="31" s="1"/>
  <c r="AG74" i="31"/>
  <c r="AI74" i="31" s="1"/>
  <c r="AB74" i="31"/>
  <c r="AD73" i="31"/>
  <c r="AA73" i="31"/>
  <c r="Z73" i="31"/>
  <c r="Y73" i="31"/>
  <c r="X73" i="31"/>
  <c r="AG72" i="31"/>
  <c r="AI72" i="31" s="1"/>
  <c r="AD72" i="31"/>
  <c r="AA72" i="31"/>
  <c r="Z72" i="31"/>
  <c r="Y72" i="31"/>
  <c r="X72" i="31"/>
  <c r="AG71" i="31"/>
  <c r="AI71" i="31" s="1"/>
  <c r="AD71" i="31"/>
  <c r="AA71" i="31"/>
  <c r="Z71" i="31"/>
  <c r="Y71" i="31"/>
  <c r="X71" i="31"/>
  <c r="T70" i="31"/>
  <c r="S70" i="31"/>
  <c r="R70" i="31"/>
  <c r="Q70" i="31"/>
  <c r="AG70" i="31" s="1"/>
  <c r="P70" i="31"/>
  <c r="N70" i="31"/>
  <c r="T69" i="31"/>
  <c r="S69" i="31"/>
  <c r="R69" i="31"/>
  <c r="Q69" i="31"/>
  <c r="Z69" i="31" s="1"/>
  <c r="P69" i="31"/>
  <c r="N69" i="31"/>
  <c r="AI68" i="31"/>
  <c r="AG68" i="31"/>
  <c r="AD68" i="31"/>
  <c r="AA68" i="31"/>
  <c r="Z68" i="31"/>
  <c r="AL68" i="31" s="1"/>
  <c r="Y68" i="31"/>
  <c r="X68" i="31"/>
  <c r="T67" i="31"/>
  <c r="S67" i="31"/>
  <c r="R67" i="31"/>
  <c r="Q67" i="31"/>
  <c r="Z67" i="31" s="1"/>
  <c r="P67" i="31"/>
  <c r="N67" i="31"/>
  <c r="T66" i="31"/>
  <c r="S66" i="31"/>
  <c r="R66" i="31"/>
  <c r="Q66" i="31"/>
  <c r="Z66" i="31" s="1"/>
  <c r="P66" i="31"/>
  <c r="N66" i="31"/>
  <c r="AG65" i="31"/>
  <c r="AI65" i="31" s="1"/>
  <c r="AD65" i="31"/>
  <c r="AA65" i="31"/>
  <c r="Z65" i="31"/>
  <c r="AL65" i="31" s="1"/>
  <c r="Y65" i="31"/>
  <c r="X65" i="31"/>
  <c r="AG64" i="31"/>
  <c r="Z64" i="31"/>
  <c r="AG63" i="31"/>
  <c r="Z63" i="31"/>
  <c r="AD62" i="31"/>
  <c r="AA62" i="31"/>
  <c r="Y62" i="31"/>
  <c r="X62" i="31"/>
  <c r="T62" i="31"/>
  <c r="S62" i="31"/>
  <c r="R62" i="31"/>
  <c r="Q62" i="31"/>
  <c r="AG62" i="31" s="1"/>
  <c r="AI62" i="31" s="1"/>
  <c r="N62" i="31"/>
  <c r="AG61" i="31"/>
  <c r="Z61" i="31"/>
  <c r="AG60" i="31"/>
  <c r="Z60" i="31"/>
  <c r="AG59" i="31"/>
  <c r="Z59" i="31"/>
  <c r="AG58" i="31"/>
  <c r="Z58" i="31"/>
  <c r="AD57" i="31"/>
  <c r="AA57" i="31"/>
  <c r="Y57" i="31"/>
  <c r="X57" i="31"/>
  <c r="T57" i="31"/>
  <c r="S57" i="31"/>
  <c r="R57" i="31"/>
  <c r="Q57" i="31"/>
  <c r="AG57" i="31" s="1"/>
  <c r="AI57" i="31" s="1"/>
  <c r="N57" i="31"/>
  <c r="AD56" i="31"/>
  <c r="AA56" i="31"/>
  <c r="Y56" i="31"/>
  <c r="AG55" i="31"/>
  <c r="AD55" i="31"/>
  <c r="AA55" i="31"/>
  <c r="Z55" i="31"/>
  <c r="Y55" i="31"/>
  <c r="X55" i="31"/>
  <c r="AG54" i="31"/>
  <c r="AD54" i="31"/>
  <c r="AA54" i="31"/>
  <c r="Z54" i="31"/>
  <c r="Y54" i="31"/>
  <c r="X54" i="31"/>
  <c r="T53" i="31"/>
  <c r="S53" i="31"/>
  <c r="R53" i="31"/>
  <c r="P53" i="31"/>
  <c r="Q53" i="31" s="1"/>
  <c r="N53" i="31"/>
  <c r="AG52" i="31"/>
  <c r="AD52" i="31"/>
  <c r="AA52" i="31"/>
  <c r="Z52" i="31"/>
  <c r="AL52" i="31" s="1"/>
  <c r="Y52" i="31"/>
  <c r="X52" i="31"/>
  <c r="AG51" i="31"/>
  <c r="AD51" i="31"/>
  <c r="AA51" i="31"/>
  <c r="Z51" i="31"/>
  <c r="Y51" i="31"/>
  <c r="X51" i="31"/>
  <c r="AG50" i="31"/>
  <c r="AI50" i="31" s="1"/>
  <c r="AG49" i="31"/>
  <c r="Z49" i="31"/>
  <c r="T49" i="31"/>
  <c r="AG48" i="31"/>
  <c r="Z48" i="31"/>
  <c r="AG47" i="31"/>
  <c r="Z47" i="31"/>
  <c r="T47" i="31"/>
  <c r="S47" i="31"/>
  <c r="R47" i="31"/>
  <c r="N47" i="31"/>
  <c r="AG46" i="31"/>
  <c r="Z46" i="31"/>
  <c r="T46" i="31"/>
  <c r="S46" i="31"/>
  <c r="R46" i="31"/>
  <c r="AG45" i="31"/>
  <c r="Z45" i="31"/>
  <c r="T45" i="31"/>
  <c r="Y44" i="31"/>
  <c r="X44" i="31"/>
  <c r="Q44" i="31"/>
  <c r="AG44" i="31" s="1"/>
  <c r="AI44" i="31" s="1"/>
  <c r="N44" i="31"/>
  <c r="N49" i="31" s="1"/>
  <c r="AG43" i="31"/>
  <c r="Z43" i="31"/>
  <c r="AG42" i="31"/>
  <c r="Z42" i="31"/>
  <c r="Y41" i="31"/>
  <c r="X41" i="31"/>
  <c r="T41" i="31"/>
  <c r="S41" i="31"/>
  <c r="R41" i="31"/>
  <c r="Q41" i="31"/>
  <c r="AG41" i="31" s="1"/>
  <c r="AI41" i="31" s="1"/>
  <c r="P41" i="31"/>
  <c r="O41" i="31"/>
  <c r="N41" i="31"/>
  <c r="Y40" i="31"/>
  <c r="T39" i="31"/>
  <c r="S39" i="31"/>
  <c r="R39" i="31"/>
  <c r="Q39" i="31"/>
  <c r="AG39" i="31" s="1"/>
  <c r="P39" i="31"/>
  <c r="T38" i="31"/>
  <c r="S38" i="31"/>
  <c r="R38" i="31"/>
  <c r="Q38" i="31"/>
  <c r="AG38" i="31" s="1"/>
  <c r="P38" i="31"/>
  <c r="AG37" i="31"/>
  <c r="AD37" i="31"/>
  <c r="AA37" i="31"/>
  <c r="Z37" i="31"/>
  <c r="Y37" i="31"/>
  <c r="X37" i="31"/>
  <c r="O37" i="31"/>
  <c r="AG36" i="31"/>
  <c r="Z36" i="31"/>
  <c r="T36" i="31"/>
  <c r="S36" i="31"/>
  <c r="R36" i="31"/>
  <c r="P36" i="31"/>
  <c r="AG35" i="31"/>
  <c r="AD35" i="31"/>
  <c r="AA35" i="31"/>
  <c r="Z35" i="31"/>
  <c r="Y35" i="31"/>
  <c r="X35" i="31"/>
  <c r="T34" i="31"/>
  <c r="S34" i="31"/>
  <c r="R34" i="31"/>
  <c r="Q34" i="31"/>
  <c r="Z34" i="31" s="1"/>
  <c r="P34" i="31"/>
  <c r="AG33" i="31"/>
  <c r="AD33" i="31"/>
  <c r="AA33" i="31"/>
  <c r="Z33" i="31"/>
  <c r="AL33" i="31" s="1"/>
  <c r="Y33" i="31"/>
  <c r="X33" i="31"/>
  <c r="AG32" i="31"/>
  <c r="AI32" i="31" s="1"/>
  <c r="AG31" i="31"/>
  <c r="Z31" i="31"/>
  <c r="AG30" i="31"/>
  <c r="Z30" i="31"/>
  <c r="R30" i="31"/>
  <c r="AG29" i="31"/>
  <c r="AL29" i="31" s="1"/>
  <c r="Y29" i="31"/>
  <c r="X29" i="31"/>
  <c r="AG28" i="31"/>
  <c r="AD28" i="31"/>
  <c r="AA28" i="31"/>
  <c r="Z28" i="31"/>
  <c r="Y28" i="31"/>
  <c r="X28" i="31"/>
  <c r="AD27" i="31"/>
  <c r="AA27" i="31"/>
  <c r="Y27" i="31"/>
  <c r="X27" i="31"/>
  <c r="Q27" i="31"/>
  <c r="AG27" i="31" s="1"/>
  <c r="AI27" i="31" s="1"/>
  <c r="P27" i="31"/>
  <c r="AG26" i="31"/>
  <c r="AL26" i="31" s="1"/>
  <c r="AD26" i="31"/>
  <c r="AA26" i="31"/>
  <c r="Z26" i="31"/>
  <c r="Y26" i="31"/>
  <c r="X26" i="31"/>
  <c r="AG25" i="31"/>
  <c r="Z25" i="31"/>
  <c r="AD24" i="31"/>
  <c r="AA24" i="31"/>
  <c r="Y24" i="31"/>
  <c r="X24" i="31"/>
  <c r="W24" i="31"/>
  <c r="Q24" i="31"/>
  <c r="P24" i="31"/>
  <c r="Y23" i="31"/>
  <c r="X23" i="31"/>
  <c r="W23" i="31"/>
  <c r="Q23" i="31"/>
  <c r="AG23" i="31" s="1"/>
  <c r="P23" i="31"/>
  <c r="Y22" i="31"/>
  <c r="X22" i="31"/>
  <c r="Q22" i="31"/>
  <c r="Z22" i="31" s="1"/>
  <c r="P22" i="31"/>
  <c r="W22" i="31" s="1"/>
  <c r="Y21" i="31"/>
  <c r="Q20" i="31"/>
  <c r="R20" i="31" s="1"/>
  <c r="S20" i="31" s="1"/>
  <c r="T20" i="31" s="1"/>
  <c r="Q19" i="31"/>
  <c r="R19" i="31" s="1"/>
  <c r="S19" i="31" s="1"/>
  <c r="T19" i="31" s="1"/>
  <c r="Q18" i="31"/>
  <c r="AG18" i="31" s="1"/>
  <c r="AG17" i="31"/>
  <c r="AI17" i="31" s="1"/>
  <c r="AG16" i="31"/>
  <c r="AI16" i="31" s="1"/>
  <c r="P15" i="31"/>
  <c r="N15" i="31"/>
  <c r="Q15" i="31" s="1"/>
  <c r="AG15" i="31" s="1"/>
  <c r="P14" i="31"/>
  <c r="N14" i="31"/>
  <c r="Q14" i="31" s="1"/>
  <c r="AG14" i="31" s="1"/>
  <c r="P13" i="31"/>
  <c r="N13" i="31"/>
  <c r="Q13" i="31" s="1"/>
  <c r="R13" i="31" s="1"/>
  <c r="S13" i="31" s="1"/>
  <c r="T13" i="31" s="1"/>
  <c r="P12" i="31"/>
  <c r="N12" i="31"/>
  <c r="Q12" i="31" s="1"/>
  <c r="AG11" i="31"/>
  <c r="AI11" i="31" s="1"/>
  <c r="AL37" i="31" l="1"/>
  <c r="AL72" i="31"/>
  <c r="AL51" i="31"/>
  <c r="AL28" i="31"/>
  <c r="AL55" i="31"/>
  <c r="Y10" i="31"/>
  <c r="AM68" i="31"/>
  <c r="AM62" i="31"/>
  <c r="AG19" i="31"/>
  <c r="AI26" i="31"/>
  <c r="AI28" i="31"/>
  <c r="AI29" i="31"/>
  <c r="AM33" i="31"/>
  <c r="AL35" i="31"/>
  <c r="Z41" i="31"/>
  <c r="AG66" i="31"/>
  <c r="AM71" i="31"/>
  <c r="AM72" i="31"/>
  <c r="AM27" i="31"/>
  <c r="AL54" i="31"/>
  <c r="Z62" i="31"/>
  <c r="AL62" i="31" s="1"/>
  <c r="AM26" i="31"/>
  <c r="AM51" i="31"/>
  <c r="AM52" i="31"/>
  <c r="AM65" i="31"/>
  <c r="AL71" i="31"/>
  <c r="AM35" i="31"/>
  <c r="AG22" i="31"/>
  <c r="AI22" i="31" s="1"/>
  <c r="AM57" i="31"/>
  <c r="R24" i="31"/>
  <c r="AM28" i="31"/>
  <c r="AG34" i="31"/>
  <c r="AG69" i="31"/>
  <c r="R27" i="31"/>
  <c r="R31" i="31"/>
  <c r="S30" i="31"/>
  <c r="AM37" i="31"/>
  <c r="Z44" i="31"/>
  <c r="AL44" i="31" s="1"/>
  <c r="AG13" i="31"/>
  <c r="AL41" i="31"/>
  <c r="AG53" i="31"/>
  <c r="AI53" i="31" s="1"/>
  <c r="Z53" i="31"/>
  <c r="AM55" i="31"/>
  <c r="Z70" i="31"/>
  <c r="R18" i="31"/>
  <c r="S18" i="31" s="1"/>
  <c r="T18" i="31" s="1"/>
  <c r="AG24" i="31"/>
  <c r="Z24" i="31"/>
  <c r="Z27" i="31"/>
  <c r="AL27" i="31" s="1"/>
  <c r="AM54" i="31"/>
  <c r="R12" i="31"/>
  <c r="S12" i="31" s="1"/>
  <c r="T12" i="31" s="1"/>
  <c r="AG12" i="31"/>
  <c r="R14" i="31"/>
  <c r="S14" i="31" s="1"/>
  <c r="T14" i="31" s="1"/>
  <c r="R15" i="31"/>
  <c r="S15" i="31" s="1"/>
  <c r="T15" i="31" s="1"/>
  <c r="Z39" i="31"/>
  <c r="Z38" i="31"/>
  <c r="AG20" i="31"/>
  <c r="Z23" i="31"/>
  <c r="Z57" i="31"/>
  <c r="AL57" i="31" s="1"/>
  <c r="AG67" i="31"/>
  <c r="AL22" i="31" l="1"/>
  <c r="S31" i="31"/>
  <c r="T30" i="31"/>
  <c r="T31" i="31" s="1"/>
  <c r="AE70" i="30"/>
  <c r="AE69" i="30"/>
  <c r="AB70" i="30"/>
  <c r="AB69" i="30"/>
  <c r="Q67" i="30" l="1"/>
  <c r="Q66" i="30"/>
  <c r="AE67" i="30"/>
  <c r="AE66" i="30"/>
  <c r="AB67" i="30"/>
  <c r="AB66" i="30"/>
  <c r="AE64" i="30"/>
  <c r="AB64" i="30"/>
  <c r="AE63" i="30"/>
  <c r="AB63" i="30"/>
  <c r="N57" i="30"/>
  <c r="AB57" i="30"/>
  <c r="AE61" i="30"/>
  <c r="AE60" i="30"/>
  <c r="AE59" i="30"/>
  <c r="AB61" i="30"/>
  <c r="AB60" i="30"/>
  <c r="AB59" i="30"/>
  <c r="AE58" i="30"/>
  <c r="AB58" i="30"/>
  <c r="Q44" i="30"/>
  <c r="T38" i="25" l="1"/>
  <c r="Q38" i="30"/>
  <c r="AB72" i="30" l="1"/>
  <c r="AE24" i="30"/>
  <c r="AD24" i="30"/>
  <c r="AA24" i="30"/>
  <c r="Z73" i="30"/>
  <c r="Z72" i="30"/>
  <c r="Z71" i="30"/>
  <c r="Z68" i="30"/>
  <c r="Z65" i="30"/>
  <c r="Z64" i="30"/>
  <c r="Z63" i="30"/>
  <c r="Z61" i="30"/>
  <c r="Z60" i="30"/>
  <c r="Z59" i="30"/>
  <c r="Z58" i="30"/>
  <c r="Z55" i="30"/>
  <c r="Z54" i="30"/>
  <c r="Z52" i="30"/>
  <c r="Z51" i="30"/>
  <c r="Z49" i="30"/>
  <c r="Z48" i="30"/>
  <c r="Z47" i="30"/>
  <c r="Z46" i="30"/>
  <c r="Z45" i="30"/>
  <c r="Z44" i="30"/>
  <c r="Z43" i="30"/>
  <c r="Z42" i="30"/>
  <c r="Z37" i="30"/>
  <c r="Z35" i="30"/>
  <c r="Z33" i="30"/>
  <c r="Z31" i="30"/>
  <c r="Z30" i="30"/>
  <c r="Z28" i="30"/>
  <c r="Z26" i="30"/>
  <c r="Z25" i="30"/>
  <c r="AD73" i="30"/>
  <c r="AD72" i="30"/>
  <c r="AD71" i="30"/>
  <c r="AD68" i="30"/>
  <c r="AD65" i="30"/>
  <c r="AD62" i="30"/>
  <c r="AD55" i="30"/>
  <c r="AD54" i="30"/>
  <c r="AD52" i="30"/>
  <c r="AD51" i="30"/>
  <c r="AD37" i="30"/>
  <c r="AD35" i="30"/>
  <c r="AD33" i="30"/>
  <c r="AD28" i="30"/>
  <c r="AD27" i="30"/>
  <c r="AD26" i="30"/>
  <c r="AE43" i="30"/>
  <c r="AA56" i="30"/>
  <c r="AA73" i="30"/>
  <c r="AA72" i="30"/>
  <c r="AA71" i="30"/>
  <c r="AA68" i="30"/>
  <c r="AA65" i="30"/>
  <c r="AA62" i="30"/>
  <c r="AA57" i="30"/>
  <c r="AA55" i="30"/>
  <c r="AA54" i="30"/>
  <c r="AA52" i="30"/>
  <c r="AA51" i="30"/>
  <c r="AA37" i="30"/>
  <c r="AA35" i="30"/>
  <c r="AA33" i="30"/>
  <c r="AA28" i="30"/>
  <c r="AA27" i="30"/>
  <c r="AA26" i="30"/>
  <c r="AB44" i="30"/>
  <c r="AB73" i="30"/>
  <c r="AB71" i="30"/>
  <c r="AB68" i="30"/>
  <c r="AB65" i="30"/>
  <c r="AB62" i="30"/>
  <c r="AB56" i="30"/>
  <c r="AB55" i="30"/>
  <c r="AB54" i="30"/>
  <c r="AB53" i="30" s="1"/>
  <c r="AB52" i="30"/>
  <c r="AB51" i="30"/>
  <c r="AB37" i="30"/>
  <c r="AB35" i="30"/>
  <c r="AB33" i="30"/>
  <c r="AB28" i="30"/>
  <c r="AB27" i="30"/>
  <c r="AB26" i="30"/>
  <c r="AB50" i="30" l="1"/>
  <c r="AB32" i="30"/>
  <c r="AH198" i="30"/>
  <c r="AB198" i="30"/>
  <c r="AH197" i="30"/>
  <c r="AB197" i="30"/>
  <c r="AH196" i="30"/>
  <c r="AB196" i="30"/>
  <c r="AH195" i="30"/>
  <c r="AB195" i="30"/>
  <c r="AH194" i="30"/>
  <c r="AB194" i="30"/>
  <c r="AH193" i="30"/>
  <c r="AB193" i="30"/>
  <c r="AH192" i="30"/>
  <c r="AB192" i="30"/>
  <c r="AH191" i="30"/>
  <c r="AB191" i="30"/>
  <c r="AH190" i="30"/>
  <c r="AB190" i="30"/>
  <c r="AH189" i="30"/>
  <c r="AB189" i="30"/>
  <c r="AH188" i="30"/>
  <c r="AB188" i="30"/>
  <c r="AH187" i="30"/>
  <c r="AB187" i="30"/>
  <c r="AH186" i="30"/>
  <c r="AB186" i="30"/>
  <c r="AH185" i="30"/>
  <c r="AB185" i="30"/>
  <c r="AH184" i="30"/>
  <c r="AB184" i="30"/>
  <c r="AH183" i="30"/>
  <c r="AB183" i="30"/>
  <c r="AH182" i="30"/>
  <c r="AB182" i="30"/>
  <c r="AH181" i="30"/>
  <c r="AB181" i="30"/>
  <c r="AH180" i="30"/>
  <c r="AB180" i="30"/>
  <c r="AH179" i="30"/>
  <c r="AB179" i="30"/>
  <c r="AH178" i="30"/>
  <c r="AB178" i="30"/>
  <c r="AH177" i="30"/>
  <c r="AB177" i="30"/>
  <c r="AH176" i="30"/>
  <c r="AB176" i="30"/>
  <c r="AH175" i="30"/>
  <c r="AB175" i="30"/>
  <c r="AH174" i="30"/>
  <c r="AB174" i="30"/>
  <c r="AH173" i="30"/>
  <c r="AB173" i="30"/>
  <c r="AH172" i="30"/>
  <c r="AB172" i="30"/>
  <c r="AH171" i="30"/>
  <c r="AB171" i="30"/>
  <c r="AH170" i="30"/>
  <c r="AB170" i="30"/>
  <c r="AH169" i="30"/>
  <c r="AB169" i="30"/>
  <c r="AH168" i="30"/>
  <c r="AB168" i="30"/>
  <c r="AH167" i="30"/>
  <c r="AB167" i="30"/>
  <c r="AH166" i="30"/>
  <c r="AB166" i="30"/>
  <c r="AH165" i="30"/>
  <c r="AB165" i="30"/>
  <c r="AH164" i="30"/>
  <c r="AB164" i="30"/>
  <c r="AH163" i="30"/>
  <c r="AB163" i="30"/>
  <c r="AH162" i="30"/>
  <c r="AB162" i="30"/>
  <c r="AH161" i="30"/>
  <c r="AB161" i="30"/>
  <c r="AH160" i="30"/>
  <c r="AB160" i="30"/>
  <c r="AH159" i="30"/>
  <c r="AB159" i="30"/>
  <c r="AH158" i="30"/>
  <c r="AB158" i="30"/>
  <c r="AH157" i="30"/>
  <c r="AB157" i="30"/>
  <c r="AH156" i="30"/>
  <c r="AB156" i="30"/>
  <c r="AH155" i="30"/>
  <c r="AB155" i="30"/>
  <c r="AH154" i="30"/>
  <c r="AB154" i="30"/>
  <c r="AH153" i="30"/>
  <c r="AB153" i="30"/>
  <c r="AH152" i="30"/>
  <c r="AB152" i="30"/>
  <c r="AH151" i="30"/>
  <c r="AB151" i="30"/>
  <c r="AH150" i="30"/>
  <c r="AB150" i="30"/>
  <c r="AH149" i="30"/>
  <c r="AB149" i="30"/>
  <c r="AH148" i="30"/>
  <c r="AB148" i="30"/>
  <c r="AH147" i="30"/>
  <c r="AB147" i="30"/>
  <c r="AH146" i="30"/>
  <c r="AB146" i="30"/>
  <c r="AH145" i="30"/>
  <c r="AB145" i="30"/>
  <c r="AH144" i="30"/>
  <c r="AB144" i="30"/>
  <c r="AH143" i="30"/>
  <c r="AB143" i="30"/>
  <c r="AH142" i="30"/>
  <c r="AB142" i="30"/>
  <c r="AH141" i="30"/>
  <c r="AB141" i="30"/>
  <c r="AH140" i="30"/>
  <c r="AB140" i="30"/>
  <c r="AH139" i="30"/>
  <c r="AB139" i="30"/>
  <c r="AF138" i="30"/>
  <c r="AH138" i="30" s="1"/>
  <c r="Z138" i="30"/>
  <c r="AB138" i="30" s="1"/>
  <c r="AF137" i="30"/>
  <c r="Z137" i="30"/>
  <c r="AF136" i="30"/>
  <c r="AH136" i="30" s="1"/>
  <c r="AB136" i="30"/>
  <c r="Z136" i="30"/>
  <c r="AF135" i="30"/>
  <c r="Z135" i="30"/>
  <c r="AH134" i="30"/>
  <c r="AF134" i="30"/>
  <c r="Z134" i="30"/>
  <c r="AB134" i="30" s="1"/>
  <c r="AF133" i="30"/>
  <c r="AH133" i="30" s="1"/>
  <c r="Z133" i="30"/>
  <c r="AB133" i="30" s="1"/>
  <c r="AF132" i="30"/>
  <c r="AH132" i="30" s="1"/>
  <c r="Z132" i="30"/>
  <c r="AB132" i="30" s="1"/>
  <c r="AF131" i="30"/>
  <c r="AH131" i="30" s="1"/>
  <c r="Z131" i="30"/>
  <c r="AB131" i="30" s="1"/>
  <c r="AF129" i="30"/>
  <c r="AH129" i="30" s="1"/>
  <c r="Z129" i="30"/>
  <c r="AB129" i="30" s="1"/>
  <c r="AF128" i="30"/>
  <c r="Z128" i="30"/>
  <c r="AF127" i="30"/>
  <c r="Z127" i="30"/>
  <c r="AF126" i="30"/>
  <c r="AH126" i="30" s="1"/>
  <c r="Z126" i="30"/>
  <c r="AB126" i="30" s="1"/>
  <c r="AF125" i="30"/>
  <c r="AH125" i="30" s="1"/>
  <c r="Z125" i="30"/>
  <c r="AB125" i="30" s="1"/>
  <c r="N125" i="30"/>
  <c r="AF124" i="30"/>
  <c r="AH124" i="30" s="1"/>
  <c r="Z124" i="30"/>
  <c r="AB124" i="30" s="1"/>
  <c r="N124" i="30"/>
  <c r="AF121" i="30"/>
  <c r="Z121" i="30"/>
  <c r="AF120" i="30"/>
  <c r="Z120" i="30"/>
  <c r="AF119" i="30"/>
  <c r="AH119" i="30" s="1"/>
  <c r="Z119" i="30"/>
  <c r="AB119" i="30" s="1"/>
  <c r="AF117" i="30"/>
  <c r="Z117" i="30"/>
  <c r="AF116" i="30"/>
  <c r="Z116" i="30"/>
  <c r="AF115" i="30"/>
  <c r="AH115" i="30" s="1"/>
  <c r="Z115" i="30"/>
  <c r="AB115" i="30" s="1"/>
  <c r="AF114" i="30"/>
  <c r="Z114" i="30"/>
  <c r="AF113" i="30"/>
  <c r="Z113" i="30"/>
  <c r="AF112" i="30"/>
  <c r="Z112" i="30"/>
  <c r="AF111" i="30"/>
  <c r="AH111" i="30" s="1"/>
  <c r="Z111" i="30"/>
  <c r="AB111" i="30" s="1"/>
  <c r="AF110" i="30"/>
  <c r="Z110" i="30"/>
  <c r="AF109" i="30"/>
  <c r="Z109" i="30"/>
  <c r="AF108" i="30"/>
  <c r="Z108" i="30"/>
  <c r="AF107" i="30"/>
  <c r="Z107" i="30"/>
  <c r="AF106" i="30"/>
  <c r="Z106" i="30"/>
  <c r="N106" i="30"/>
  <c r="AF105" i="30"/>
  <c r="Z105" i="30"/>
  <c r="N105" i="30"/>
  <c r="AF104" i="30"/>
  <c r="AH104" i="30" s="1"/>
  <c r="Z104" i="30"/>
  <c r="AB104" i="30" s="1"/>
  <c r="AF103" i="30"/>
  <c r="Z103" i="30"/>
  <c r="AF102" i="30"/>
  <c r="Z102" i="30"/>
  <c r="AF101" i="30"/>
  <c r="AH101" i="30" s="1"/>
  <c r="Z101" i="30"/>
  <c r="AB101" i="30" s="1"/>
  <c r="AF98" i="30"/>
  <c r="Z98" i="30"/>
  <c r="AF97" i="30"/>
  <c r="Z97" i="30"/>
  <c r="AF96" i="30"/>
  <c r="AH96" i="30" s="1"/>
  <c r="Z96" i="30"/>
  <c r="AB96" i="30" s="1"/>
  <c r="AF95" i="30"/>
  <c r="Z95" i="30"/>
  <c r="N95" i="30"/>
  <c r="M95" i="30"/>
  <c r="AF94" i="30"/>
  <c r="Z94" i="30"/>
  <c r="N94" i="30"/>
  <c r="M94" i="30"/>
  <c r="AF93" i="30"/>
  <c r="Z93" i="30"/>
  <c r="AF92" i="30"/>
  <c r="AH92" i="30" s="1"/>
  <c r="Z92" i="30"/>
  <c r="AB92" i="30" s="1"/>
  <c r="AF90" i="30"/>
  <c r="AH90" i="30" s="1"/>
  <c r="Z90" i="30"/>
  <c r="AB90" i="30" s="1"/>
  <c r="AF89" i="30"/>
  <c r="Z89" i="30"/>
  <c r="AF88" i="30"/>
  <c r="Z88" i="30"/>
  <c r="AF87" i="30"/>
  <c r="Z87" i="30"/>
  <c r="AF86" i="30"/>
  <c r="AH86" i="30" s="1"/>
  <c r="Z86" i="30"/>
  <c r="AB86" i="30" s="1"/>
  <c r="AF84" i="30"/>
  <c r="Z84" i="30"/>
  <c r="AF83" i="30"/>
  <c r="Z83" i="30"/>
  <c r="AF82" i="30"/>
  <c r="Z82" i="30"/>
  <c r="AF81" i="30"/>
  <c r="Z81" i="30"/>
  <c r="AF80" i="30"/>
  <c r="Z80" i="30"/>
  <c r="AF79" i="30"/>
  <c r="AH79" i="30" s="1"/>
  <c r="Z79" i="30"/>
  <c r="AB79" i="30" s="1"/>
  <c r="AF78" i="30"/>
  <c r="AH78" i="30" s="1"/>
  <c r="Z78" i="30"/>
  <c r="AB78" i="30" s="1"/>
  <c r="AF74" i="30"/>
  <c r="AH74" i="30" s="1"/>
  <c r="AB74" i="30"/>
  <c r="Y73" i="30"/>
  <c r="X73" i="30"/>
  <c r="AF72" i="30"/>
  <c r="AH72" i="30" s="1"/>
  <c r="Y72" i="30"/>
  <c r="X72" i="30"/>
  <c r="AL72" i="30" s="1"/>
  <c r="AF71" i="30"/>
  <c r="AH71" i="30" s="1"/>
  <c r="Y71" i="30"/>
  <c r="X71" i="30"/>
  <c r="AL71" i="30" s="1"/>
  <c r="T70" i="30"/>
  <c r="S70" i="30"/>
  <c r="R70" i="30"/>
  <c r="Q70" i="30"/>
  <c r="P70" i="30"/>
  <c r="N70" i="30"/>
  <c r="T69" i="30"/>
  <c r="S69" i="30"/>
  <c r="R69" i="30"/>
  <c r="Q69" i="30"/>
  <c r="P69" i="30"/>
  <c r="N69" i="30"/>
  <c r="AF68" i="30"/>
  <c r="AH68" i="30" s="1"/>
  <c r="Y68" i="30"/>
  <c r="X68" i="30"/>
  <c r="AL68" i="30" s="1"/>
  <c r="T67" i="30"/>
  <c r="S67" i="30"/>
  <c r="R67" i="30"/>
  <c r="Z67" i="30"/>
  <c r="P67" i="30"/>
  <c r="N67" i="30"/>
  <c r="T66" i="30"/>
  <c r="S66" i="30"/>
  <c r="R66" i="30"/>
  <c r="Z66" i="30"/>
  <c r="P66" i="30"/>
  <c r="N66" i="30"/>
  <c r="AF65" i="30"/>
  <c r="AK65" i="30" s="1"/>
  <c r="Y65" i="30"/>
  <c r="X65" i="30"/>
  <c r="AL65" i="30" s="1"/>
  <c r="AF64" i="30"/>
  <c r="AF63" i="30"/>
  <c r="Y62" i="30"/>
  <c r="X62" i="30"/>
  <c r="AL62" i="30" s="1"/>
  <c r="T62" i="30"/>
  <c r="S62" i="30"/>
  <c r="R62" i="30"/>
  <c r="Q62" i="30"/>
  <c r="AF62" i="30" s="1"/>
  <c r="AH62" i="30" s="1"/>
  <c r="N62" i="30"/>
  <c r="AF61" i="30"/>
  <c r="AF60" i="30"/>
  <c r="AF59" i="30"/>
  <c r="AF58" i="30"/>
  <c r="Y57" i="30"/>
  <c r="X57" i="30"/>
  <c r="AL57" i="30" s="1"/>
  <c r="T57" i="30"/>
  <c r="S57" i="30"/>
  <c r="R57" i="30"/>
  <c r="Q57" i="30"/>
  <c r="AF55" i="30"/>
  <c r="AK55" i="30" s="1"/>
  <c r="Y55" i="30"/>
  <c r="X55" i="30"/>
  <c r="AL55" i="30" s="1"/>
  <c r="AF54" i="30"/>
  <c r="AK54" i="30" s="1"/>
  <c r="Y54" i="30"/>
  <c r="AM54" i="30" s="1"/>
  <c r="X54" i="30"/>
  <c r="AL54" i="30" s="1"/>
  <c r="T53" i="30"/>
  <c r="S53" i="30"/>
  <c r="R53" i="30"/>
  <c r="P53" i="30"/>
  <c r="Q53" i="30" s="1"/>
  <c r="N53" i="30"/>
  <c r="AF52" i="30"/>
  <c r="AK52" i="30" s="1"/>
  <c r="Y52" i="30"/>
  <c r="AM52" i="30" s="1"/>
  <c r="X52" i="30"/>
  <c r="AL52" i="30" s="1"/>
  <c r="AF51" i="30"/>
  <c r="AK51" i="30" s="1"/>
  <c r="Y51" i="30"/>
  <c r="AM51" i="30" s="1"/>
  <c r="X51" i="30"/>
  <c r="AL51" i="30" s="1"/>
  <c r="AF50" i="30"/>
  <c r="AH50" i="30" s="1"/>
  <c r="T49" i="30"/>
  <c r="AF49" i="30"/>
  <c r="AF48" i="30"/>
  <c r="T47" i="30"/>
  <c r="S47" i="30"/>
  <c r="R47" i="30"/>
  <c r="N47" i="30"/>
  <c r="T46" i="30"/>
  <c r="S46" i="30"/>
  <c r="R46" i="30"/>
  <c r="T45" i="30"/>
  <c r="AF45" i="30"/>
  <c r="AF44" i="30"/>
  <c r="AK44" i="30" s="1"/>
  <c r="Y44" i="30"/>
  <c r="X44" i="30"/>
  <c r="N44" i="30"/>
  <c r="N49" i="30" s="1"/>
  <c r="AF43" i="30"/>
  <c r="AF42" i="30"/>
  <c r="Y41" i="30"/>
  <c r="X41" i="30"/>
  <c r="T41" i="30"/>
  <c r="S41" i="30"/>
  <c r="R41" i="30"/>
  <c r="Q41" i="30"/>
  <c r="Z41" i="30" s="1"/>
  <c r="P41" i="30"/>
  <c r="O41" i="30"/>
  <c r="N41" i="30"/>
  <c r="T39" i="30"/>
  <c r="S39" i="30"/>
  <c r="R39" i="30"/>
  <c r="Q39" i="30"/>
  <c r="Z39" i="30" s="1"/>
  <c r="P39" i="30"/>
  <c r="T38" i="30"/>
  <c r="S38" i="30"/>
  <c r="R38" i="30"/>
  <c r="Z38" i="30"/>
  <c r="P38" i="30"/>
  <c r="AF37" i="30"/>
  <c r="AK37" i="30" s="1"/>
  <c r="Y37" i="30"/>
  <c r="AM37" i="30" s="1"/>
  <c r="X37" i="30"/>
  <c r="AL37" i="30" s="1"/>
  <c r="O37" i="30"/>
  <c r="T36" i="30"/>
  <c r="S36" i="30"/>
  <c r="R36" i="30"/>
  <c r="P36" i="30"/>
  <c r="AF35" i="30"/>
  <c r="AK35" i="30" s="1"/>
  <c r="Y35" i="30"/>
  <c r="AM35" i="30" s="1"/>
  <c r="X35" i="30"/>
  <c r="AL35" i="30" s="1"/>
  <c r="T34" i="30"/>
  <c r="S34" i="30"/>
  <c r="R34" i="30"/>
  <c r="Q34" i="30"/>
  <c r="Z34" i="30" s="1"/>
  <c r="P34" i="30"/>
  <c r="AF33" i="30"/>
  <c r="AK33" i="30" s="1"/>
  <c r="Y33" i="30"/>
  <c r="AM33" i="30" s="1"/>
  <c r="X33" i="30"/>
  <c r="AL33" i="30" s="1"/>
  <c r="AF32" i="30"/>
  <c r="AH32" i="30" s="1"/>
  <c r="AF31" i="30"/>
  <c r="AF30" i="30"/>
  <c r="R30" i="30"/>
  <c r="R31" i="30" s="1"/>
  <c r="AF29" i="30"/>
  <c r="AK29" i="30" s="1"/>
  <c r="Y29" i="30"/>
  <c r="X29" i="30"/>
  <c r="AF28" i="30"/>
  <c r="AH28" i="30" s="1"/>
  <c r="Y28" i="30"/>
  <c r="X28" i="30"/>
  <c r="AL28" i="30" s="1"/>
  <c r="Y27" i="30"/>
  <c r="X27" i="30"/>
  <c r="AL27" i="30" s="1"/>
  <c r="Q27" i="30"/>
  <c r="P27" i="30"/>
  <c r="AF26" i="30"/>
  <c r="AH26" i="30" s="1"/>
  <c r="Y26" i="30"/>
  <c r="X26" i="30"/>
  <c r="AL26" i="30" s="1"/>
  <c r="AF25" i="30"/>
  <c r="Y24" i="30"/>
  <c r="X24" i="30"/>
  <c r="W24" i="30"/>
  <c r="Q24" i="30"/>
  <c r="Z24" i="30" s="1"/>
  <c r="P24" i="30"/>
  <c r="Y23" i="30"/>
  <c r="X23" i="30"/>
  <c r="W23" i="30"/>
  <c r="Q23" i="30"/>
  <c r="Z23" i="30" s="1"/>
  <c r="P23" i="30"/>
  <c r="Y22" i="30"/>
  <c r="X22" i="30"/>
  <c r="Q22" i="30"/>
  <c r="P22" i="30"/>
  <c r="W22" i="30" s="1"/>
  <c r="Q20" i="30"/>
  <c r="AF20" i="30" s="1"/>
  <c r="Q19" i="30"/>
  <c r="R19" i="30" s="1"/>
  <c r="S19" i="30" s="1"/>
  <c r="T19" i="30" s="1"/>
  <c r="Q18" i="30"/>
  <c r="AF18" i="30" s="1"/>
  <c r="AF17" i="30"/>
  <c r="AH17" i="30" s="1"/>
  <c r="AF16" i="30"/>
  <c r="AH16" i="30" s="1"/>
  <c r="P15" i="30"/>
  <c r="N15" i="30"/>
  <c r="Q15" i="30" s="1"/>
  <c r="P14" i="30"/>
  <c r="N14" i="30"/>
  <c r="Q14" i="30" s="1"/>
  <c r="AF14" i="30" s="1"/>
  <c r="P13" i="30"/>
  <c r="N13" i="30"/>
  <c r="Q13" i="30" s="1"/>
  <c r="P12" i="30"/>
  <c r="N12" i="30"/>
  <c r="Q12" i="30" s="1"/>
  <c r="AH11" i="30"/>
  <c r="AF11" i="30"/>
  <c r="AK71" i="30" l="1"/>
  <c r="AK72" i="30"/>
  <c r="AK68" i="30"/>
  <c r="AK28" i="30"/>
  <c r="R24" i="30"/>
  <c r="AM26" i="30"/>
  <c r="AM72" i="30"/>
  <c r="AF53" i="30"/>
  <c r="AH53" i="30" s="1"/>
  <c r="Z53" i="30"/>
  <c r="AA53" i="30" s="1"/>
  <c r="AF15" i="30"/>
  <c r="R15" i="30"/>
  <c r="S15" i="30" s="1"/>
  <c r="T15" i="30" s="1"/>
  <c r="Z57" i="30"/>
  <c r="AM62" i="30"/>
  <c r="AM68" i="30"/>
  <c r="AF70" i="30"/>
  <c r="Z70" i="30"/>
  <c r="R20" i="30"/>
  <c r="S20" i="30" s="1"/>
  <c r="T20" i="30" s="1"/>
  <c r="AK26" i="30"/>
  <c r="AH29" i="30"/>
  <c r="AH65" i="30"/>
  <c r="AM65" i="30" s="1"/>
  <c r="AF27" i="30"/>
  <c r="Z27" i="30"/>
  <c r="AM28" i="30"/>
  <c r="Z62" i="30"/>
  <c r="AK62" i="30" s="1"/>
  <c r="AF69" i="30"/>
  <c r="Z69" i="30"/>
  <c r="AF22" i="30"/>
  <c r="AH22" i="30" s="1"/>
  <c r="Z22" i="30"/>
  <c r="R27" i="30"/>
  <c r="AF57" i="30"/>
  <c r="AH57" i="30" s="1"/>
  <c r="AM57" i="30" s="1"/>
  <c r="AH44" i="30"/>
  <c r="AM44" i="30" s="1"/>
  <c r="AF36" i="30"/>
  <c r="Z36" i="30"/>
  <c r="AF39" i="30"/>
  <c r="AF66" i="30"/>
  <c r="AF24" i="30"/>
  <c r="AF38" i="30"/>
  <c r="AF41" i="30"/>
  <c r="AH41" i="30" s="1"/>
  <c r="AF23" i="30"/>
  <c r="AF67" i="30"/>
  <c r="AM71" i="30"/>
  <c r="R13" i="30"/>
  <c r="S13" i="30" s="1"/>
  <c r="T13" i="30" s="1"/>
  <c r="AF13" i="30"/>
  <c r="AH27" i="30"/>
  <c r="AM27" i="30" s="1"/>
  <c r="R12" i="30"/>
  <c r="S12" i="30" s="1"/>
  <c r="T12" i="30" s="1"/>
  <c r="AF12" i="30"/>
  <c r="R14" i="30"/>
  <c r="S14" i="30" s="1"/>
  <c r="T14" i="30" s="1"/>
  <c r="R18" i="30"/>
  <c r="S18" i="30" s="1"/>
  <c r="T18" i="30" s="1"/>
  <c r="AF19" i="30"/>
  <c r="S30" i="30"/>
  <c r="AF34" i="30"/>
  <c r="AF46" i="30"/>
  <c r="AF47" i="30"/>
  <c r="AM55" i="30"/>
  <c r="AK22" i="30" l="1"/>
  <c r="AK27" i="30"/>
  <c r="AK57" i="30"/>
  <c r="AK41" i="30"/>
  <c r="S31" i="30"/>
  <c r="T30" i="30"/>
  <c r="T31" i="30" s="1"/>
  <c r="F56" i="25" l="1"/>
  <c r="F40" i="25"/>
  <c r="F21" i="25"/>
  <c r="G10" i="25"/>
  <c r="G44" i="25"/>
  <c r="G41" i="25"/>
  <c r="G21" i="25"/>
  <c r="G40" i="25"/>
  <c r="G56" i="25"/>
  <c r="F10" i="25" l="1"/>
  <c r="AC75" i="25" l="1"/>
  <c r="AC74" i="25"/>
  <c r="AC73" i="25"/>
  <c r="AC70" i="25"/>
  <c r="AC67" i="25"/>
  <c r="AC64" i="25"/>
  <c r="AC57" i="25"/>
  <c r="AC56" i="25"/>
  <c r="AC55" i="25"/>
  <c r="AC54" i="25"/>
  <c r="AC52" i="25"/>
  <c r="AC51" i="25"/>
  <c r="AC50" i="25" s="1"/>
  <c r="AC37" i="25"/>
  <c r="AC35" i="25"/>
  <c r="AC33" i="25"/>
  <c r="AC32" i="25" s="1"/>
  <c r="AC28" i="25"/>
  <c r="AC27" i="25"/>
  <c r="AC26" i="25"/>
  <c r="AC22" i="25"/>
  <c r="AC53" i="25" l="1"/>
  <c r="AD22" i="25"/>
  <c r="E12" i="29" l="1"/>
  <c r="E11" i="29"/>
  <c r="E10" i="29"/>
  <c r="E9" i="29"/>
  <c r="E8" i="29"/>
  <c r="E7" i="29"/>
  <c r="Y21" i="30" l="1"/>
  <c r="E16" i="29" l="1"/>
  <c r="E18" i="29"/>
  <c r="Y40" i="30" l="1"/>
  <c r="Y56" i="30" l="1"/>
  <c r="Y10" i="30" l="1"/>
  <c r="AD9" i="29" l="1"/>
  <c r="AD12" i="29"/>
  <c r="AD10" i="29"/>
  <c r="AD11" i="29" l="1"/>
  <c r="AD7" i="29"/>
  <c r="AA12" i="29" l="1"/>
  <c r="AB12" i="29" s="1"/>
  <c r="X12" i="29"/>
  <c r="U12" i="29"/>
  <c r="O12" i="29"/>
  <c r="L12" i="29"/>
  <c r="I12" i="29"/>
  <c r="G12" i="29" s="1"/>
  <c r="AA11" i="29"/>
  <c r="AB11" i="29" s="1"/>
  <c r="X11" i="29"/>
  <c r="O11" i="29"/>
  <c r="L11" i="29"/>
  <c r="I11" i="29"/>
  <c r="G11" i="29" s="1"/>
  <c r="AA10" i="29"/>
  <c r="AB10" i="29" s="1"/>
  <c r="X10" i="29"/>
  <c r="U10" i="29"/>
  <c r="R10" i="29"/>
  <c r="O10" i="29"/>
  <c r="L10" i="29"/>
  <c r="I10" i="29"/>
  <c r="G10" i="29" s="1"/>
  <c r="AA9" i="29"/>
  <c r="AB9" i="29" s="1"/>
  <c r="X9" i="29"/>
  <c r="U9" i="29"/>
  <c r="R9" i="29"/>
  <c r="O9" i="29"/>
  <c r="L9" i="29"/>
  <c r="I9" i="29"/>
  <c r="L8" i="29"/>
  <c r="I8" i="29"/>
  <c r="G8" i="29" s="1"/>
  <c r="I7" i="29"/>
  <c r="G7" i="29" s="1"/>
  <c r="AA7" i="29"/>
  <c r="X7" i="29"/>
  <c r="V7" i="29" s="1"/>
  <c r="U7" i="29"/>
  <c r="S7" i="29" s="1"/>
  <c r="R7" i="29"/>
  <c r="P7" i="29" s="1"/>
  <c r="D20" i="29"/>
  <c r="AR18" i="29"/>
  <c r="Y7" i="29" l="1"/>
  <c r="AB7" i="29"/>
  <c r="AR10" i="29"/>
  <c r="G9" i="29"/>
  <c r="AR9" i="29" s="1"/>
  <c r="Z80" i="27" l="1"/>
  <c r="I16" i="29" l="1"/>
  <c r="G16" i="29" s="1"/>
  <c r="L7" i="29" l="1"/>
  <c r="AD5" i="28"/>
  <c r="AD10" i="28" l="1"/>
  <c r="AD9" i="28"/>
  <c r="AD8" i="28"/>
  <c r="AD7" i="28"/>
  <c r="AD6" i="28"/>
  <c r="Z10" i="28" l="1"/>
  <c r="Z9" i="28"/>
  <c r="Z8" i="28"/>
  <c r="Z7" i="28"/>
  <c r="Z6" i="28"/>
  <c r="W10" i="28"/>
  <c r="W9" i="28"/>
  <c r="W8" i="28"/>
  <c r="W7" i="28"/>
  <c r="W6" i="28"/>
  <c r="W5" i="28"/>
  <c r="V10" i="28"/>
  <c r="V9" i="28"/>
  <c r="V8" i="28"/>
  <c r="V7" i="28"/>
  <c r="V6" i="28"/>
  <c r="V5" i="28"/>
  <c r="U10" i="28"/>
  <c r="U9" i="28"/>
  <c r="U8" i="28"/>
  <c r="U7" i="28"/>
  <c r="U6" i="28"/>
  <c r="U5" i="28"/>
  <c r="AF200" i="27" l="1"/>
  <c r="AB200" i="27"/>
  <c r="AF199" i="27"/>
  <c r="AB199" i="27"/>
  <c r="AF198" i="27"/>
  <c r="AB198" i="27"/>
  <c r="AF197" i="27"/>
  <c r="AB197" i="27"/>
  <c r="AF196" i="27"/>
  <c r="AB196" i="27"/>
  <c r="AF195" i="27"/>
  <c r="AB195" i="27"/>
  <c r="AF194" i="27"/>
  <c r="AB194" i="27"/>
  <c r="AF193" i="27"/>
  <c r="AB193" i="27"/>
  <c r="AF192" i="27"/>
  <c r="AB192" i="27"/>
  <c r="AF191" i="27"/>
  <c r="AB191" i="27"/>
  <c r="AF190" i="27"/>
  <c r="AB190" i="27"/>
  <c r="AF189" i="27"/>
  <c r="AB189" i="27"/>
  <c r="AF188" i="27"/>
  <c r="AB188" i="27"/>
  <c r="AF187" i="27"/>
  <c r="AB187" i="27"/>
  <c r="AF186" i="27"/>
  <c r="AB186" i="27"/>
  <c r="AF185" i="27"/>
  <c r="AB185" i="27"/>
  <c r="AF184" i="27"/>
  <c r="AB184" i="27"/>
  <c r="AF183" i="27"/>
  <c r="AB183" i="27"/>
  <c r="AF182" i="27"/>
  <c r="AB182" i="27"/>
  <c r="AF181" i="27"/>
  <c r="AB181" i="27"/>
  <c r="AF180" i="27"/>
  <c r="AB180" i="27"/>
  <c r="AF179" i="27"/>
  <c r="AB179" i="27"/>
  <c r="AF178" i="27"/>
  <c r="AB178" i="27"/>
  <c r="AF177" i="27"/>
  <c r="AB177" i="27"/>
  <c r="AF176" i="27"/>
  <c r="AB176" i="27"/>
  <c r="AF175" i="27"/>
  <c r="AB175" i="27"/>
  <c r="AF174" i="27"/>
  <c r="AB174" i="27"/>
  <c r="AF173" i="27"/>
  <c r="AB173" i="27"/>
  <c r="AF172" i="27"/>
  <c r="AB172" i="27"/>
  <c r="AF171" i="27"/>
  <c r="AB171" i="27"/>
  <c r="AF170" i="27"/>
  <c r="AB170" i="27"/>
  <c r="AF169" i="27"/>
  <c r="AB169" i="27"/>
  <c r="AF168" i="27"/>
  <c r="AB168" i="27"/>
  <c r="AF167" i="27"/>
  <c r="AB167" i="27"/>
  <c r="AF166" i="27"/>
  <c r="AB166" i="27"/>
  <c r="AF165" i="27"/>
  <c r="AB165" i="27"/>
  <c r="AF164" i="27"/>
  <c r="AB164" i="27"/>
  <c r="AF163" i="27"/>
  <c r="AB163" i="27"/>
  <c r="AF162" i="27"/>
  <c r="AB162" i="27"/>
  <c r="AF161" i="27"/>
  <c r="AB161" i="27"/>
  <c r="AF160" i="27"/>
  <c r="AB160" i="27"/>
  <c r="AF159" i="27"/>
  <c r="AB159" i="27"/>
  <c r="AF158" i="27"/>
  <c r="AB158" i="27"/>
  <c r="AF157" i="27"/>
  <c r="AB157" i="27"/>
  <c r="AF156" i="27"/>
  <c r="AB156" i="27"/>
  <c r="AF155" i="27"/>
  <c r="AB155" i="27"/>
  <c r="AF154" i="27"/>
  <c r="AB154" i="27"/>
  <c r="AF153" i="27"/>
  <c r="AB153" i="27"/>
  <c r="AF152" i="27"/>
  <c r="AB152" i="27"/>
  <c r="AF151" i="27"/>
  <c r="AB151" i="27"/>
  <c r="AF150" i="27"/>
  <c r="AB150" i="27"/>
  <c r="AF149" i="27"/>
  <c r="AB149" i="27"/>
  <c r="AF148" i="27"/>
  <c r="AB148" i="27"/>
  <c r="AF147" i="27"/>
  <c r="AB147" i="27"/>
  <c r="AF146" i="27"/>
  <c r="AB146" i="27"/>
  <c r="AF145" i="27"/>
  <c r="AB145" i="27"/>
  <c r="AF144" i="27"/>
  <c r="AB144" i="27"/>
  <c r="AF143" i="27"/>
  <c r="AB143" i="27"/>
  <c r="AF142" i="27"/>
  <c r="AB142" i="27"/>
  <c r="AF141" i="27"/>
  <c r="AB141" i="27"/>
  <c r="AD140" i="27"/>
  <c r="AF140" i="27" s="1"/>
  <c r="Z140" i="27"/>
  <c r="AB140" i="27" s="1"/>
  <c r="AD139" i="27"/>
  <c r="Z139" i="27"/>
  <c r="AD138" i="27"/>
  <c r="AF138" i="27" s="1"/>
  <c r="Z138" i="27"/>
  <c r="AB138" i="27" s="1"/>
  <c r="AD137" i="27"/>
  <c r="Z137" i="27"/>
  <c r="AD136" i="27"/>
  <c r="AF136" i="27" s="1"/>
  <c r="Z136" i="27"/>
  <c r="AB136" i="27" s="1"/>
  <c r="AD135" i="27"/>
  <c r="AF135" i="27" s="1"/>
  <c r="Z135" i="27"/>
  <c r="AB135" i="27" s="1"/>
  <c r="AD134" i="27"/>
  <c r="AF134" i="27" s="1"/>
  <c r="Z134" i="27"/>
  <c r="AB134" i="27" s="1"/>
  <c r="AD133" i="27"/>
  <c r="AF133" i="27" s="1"/>
  <c r="Z133" i="27"/>
  <c r="AB133" i="27" s="1"/>
  <c r="AD131" i="27"/>
  <c r="AF131" i="27" s="1"/>
  <c r="Z131" i="27"/>
  <c r="AB131" i="27" s="1"/>
  <c r="AD130" i="27"/>
  <c r="Z130" i="27"/>
  <c r="AD129" i="27"/>
  <c r="Z129" i="27"/>
  <c r="AD128" i="27"/>
  <c r="AF128" i="27" s="1"/>
  <c r="Z128" i="27"/>
  <c r="AB128" i="27" s="1"/>
  <c r="AD127" i="27"/>
  <c r="AF127" i="27" s="1"/>
  <c r="Z127" i="27"/>
  <c r="AB127" i="27" s="1"/>
  <c r="N127" i="27"/>
  <c r="AD126" i="27"/>
  <c r="AF126" i="27" s="1"/>
  <c r="Z126" i="27"/>
  <c r="AB126" i="27" s="1"/>
  <c r="N126" i="27"/>
  <c r="AD123" i="27"/>
  <c r="Z123" i="27"/>
  <c r="AD122" i="27"/>
  <c r="Z122" i="27"/>
  <c r="AD121" i="27"/>
  <c r="AF121" i="27" s="1"/>
  <c r="Z121" i="27"/>
  <c r="AB121" i="27" s="1"/>
  <c r="AD119" i="27"/>
  <c r="Z119" i="27"/>
  <c r="AD118" i="27"/>
  <c r="Z118" i="27"/>
  <c r="AD117" i="27"/>
  <c r="AF117" i="27" s="1"/>
  <c r="Z117" i="27"/>
  <c r="AB117" i="27" s="1"/>
  <c r="AD116" i="27"/>
  <c r="Z116" i="27"/>
  <c r="AD115" i="27"/>
  <c r="Z115" i="27"/>
  <c r="AD114" i="27"/>
  <c r="Z114" i="27"/>
  <c r="AD113" i="27"/>
  <c r="AF113" i="27" s="1"/>
  <c r="Z113" i="27"/>
  <c r="AB113" i="27" s="1"/>
  <c r="AD112" i="27"/>
  <c r="Z112" i="27"/>
  <c r="AD111" i="27"/>
  <c r="Z111" i="27"/>
  <c r="AD110" i="27"/>
  <c r="Z110" i="27"/>
  <c r="AD109" i="27"/>
  <c r="Z109" i="27"/>
  <c r="AD108" i="27"/>
  <c r="Z108" i="27"/>
  <c r="N108" i="27"/>
  <c r="AD107" i="27"/>
  <c r="Z107" i="27"/>
  <c r="N107" i="27"/>
  <c r="AD106" i="27"/>
  <c r="AF106" i="27" s="1"/>
  <c r="Z106" i="27"/>
  <c r="AB106" i="27" s="1"/>
  <c r="AD105" i="27"/>
  <c r="Z105" i="27"/>
  <c r="AD104" i="27"/>
  <c r="Z104" i="27"/>
  <c r="AD103" i="27"/>
  <c r="AF103" i="27" s="1"/>
  <c r="Z103" i="27"/>
  <c r="AB103" i="27" s="1"/>
  <c r="AD100" i="27"/>
  <c r="Z100" i="27"/>
  <c r="AD99" i="27"/>
  <c r="Z99" i="27"/>
  <c r="AD98" i="27"/>
  <c r="AF98" i="27" s="1"/>
  <c r="Z98" i="27"/>
  <c r="AB98" i="27" s="1"/>
  <c r="AD97" i="27"/>
  <c r="Z97" i="27"/>
  <c r="N97" i="27"/>
  <c r="M97" i="27"/>
  <c r="AD96" i="27"/>
  <c r="Z96" i="27"/>
  <c r="N96" i="27"/>
  <c r="M96" i="27"/>
  <c r="AD95" i="27"/>
  <c r="Z95" i="27"/>
  <c r="AD94" i="27"/>
  <c r="AF94" i="27" s="1"/>
  <c r="Z94" i="27"/>
  <c r="AB94" i="27" s="1"/>
  <c r="AD92" i="27"/>
  <c r="AF92" i="27" s="1"/>
  <c r="AB92" i="27"/>
  <c r="Z92" i="27"/>
  <c r="AD91" i="27"/>
  <c r="Z91" i="27"/>
  <c r="AD90" i="27"/>
  <c r="Z90" i="27"/>
  <c r="AD89" i="27"/>
  <c r="Z89" i="27"/>
  <c r="AF88" i="27"/>
  <c r="AD88" i="27"/>
  <c r="Z88" i="27"/>
  <c r="AB88" i="27" s="1"/>
  <c r="AD86" i="27"/>
  <c r="Z86" i="27"/>
  <c r="AD85" i="27"/>
  <c r="Z85" i="27"/>
  <c r="AD84" i="27"/>
  <c r="Z84" i="27"/>
  <c r="AD83" i="27"/>
  <c r="Z83" i="27"/>
  <c r="AD82" i="27"/>
  <c r="Z82" i="27"/>
  <c r="AD81" i="27"/>
  <c r="AF81" i="27" s="1"/>
  <c r="Z81" i="27"/>
  <c r="AB81" i="27" s="1"/>
  <c r="AD80" i="27"/>
  <c r="AF80" i="27" s="1"/>
  <c r="AB80" i="27"/>
  <c r="AD76" i="27"/>
  <c r="AF76" i="27" s="1"/>
  <c r="AB76" i="27"/>
  <c r="X75" i="27"/>
  <c r="AD74" i="27"/>
  <c r="Z74" i="27"/>
  <c r="X74" i="27"/>
  <c r="AD73" i="27"/>
  <c r="AF73" i="27" s="1"/>
  <c r="Z73" i="27"/>
  <c r="X73" i="27"/>
  <c r="T72" i="27"/>
  <c r="S72" i="27"/>
  <c r="R72" i="27"/>
  <c r="Q72" i="27"/>
  <c r="Z72" i="27" s="1"/>
  <c r="P72" i="27"/>
  <c r="N72" i="27"/>
  <c r="T71" i="27"/>
  <c r="S71" i="27"/>
  <c r="R71" i="27"/>
  <c r="Q71" i="27"/>
  <c r="Z71" i="27" s="1"/>
  <c r="P71" i="27"/>
  <c r="N71" i="27"/>
  <c r="AD70" i="27"/>
  <c r="AF70" i="27" s="1"/>
  <c r="Z70" i="27"/>
  <c r="X70" i="27"/>
  <c r="T69" i="27"/>
  <c r="S69" i="27"/>
  <c r="R69" i="27"/>
  <c r="Q69" i="27"/>
  <c r="Z69" i="27" s="1"/>
  <c r="P69" i="27"/>
  <c r="N69" i="27"/>
  <c r="T68" i="27"/>
  <c r="S68" i="27"/>
  <c r="R68" i="27"/>
  <c r="Q68" i="27"/>
  <c r="Z68" i="27" s="1"/>
  <c r="P68" i="27"/>
  <c r="N68" i="27"/>
  <c r="AD67" i="27"/>
  <c r="AF67" i="27" s="1"/>
  <c r="Z67" i="27"/>
  <c r="X67" i="27"/>
  <c r="AD66" i="27"/>
  <c r="Z66" i="27"/>
  <c r="AD65" i="27"/>
  <c r="Z65" i="27"/>
  <c r="X64" i="27"/>
  <c r="T64" i="27"/>
  <c r="S64" i="27"/>
  <c r="R64" i="27"/>
  <c r="Q64" i="27"/>
  <c r="Z64" i="27" s="1"/>
  <c r="N64" i="27"/>
  <c r="AD63" i="27"/>
  <c r="Z63" i="27"/>
  <c r="AD62" i="27"/>
  <c r="Z62" i="27"/>
  <c r="AD61" i="27"/>
  <c r="Z61" i="27"/>
  <c r="AD60" i="27"/>
  <c r="Z60" i="27"/>
  <c r="AD59" i="27"/>
  <c r="Z59" i="27"/>
  <c r="AD58" i="27"/>
  <c r="Z58" i="27"/>
  <c r="X57" i="27"/>
  <c r="T57" i="27"/>
  <c r="S57" i="27"/>
  <c r="R57" i="27"/>
  <c r="Q57" i="27"/>
  <c r="Z57" i="27" s="1"/>
  <c r="N57" i="27"/>
  <c r="AD55" i="27"/>
  <c r="Z55" i="27"/>
  <c r="X55" i="27"/>
  <c r="AD54" i="27"/>
  <c r="Z54" i="27"/>
  <c r="X54" i="27"/>
  <c r="T53" i="27"/>
  <c r="S53" i="27"/>
  <c r="R53" i="27"/>
  <c r="P53" i="27"/>
  <c r="Q53" i="27" s="1"/>
  <c r="N53" i="27"/>
  <c r="AD52" i="27"/>
  <c r="Z52" i="27"/>
  <c r="X52" i="27"/>
  <c r="AD51" i="27"/>
  <c r="Z51" i="27"/>
  <c r="X51" i="27"/>
  <c r="AD50" i="27"/>
  <c r="AF50" i="27" s="1"/>
  <c r="T49" i="27"/>
  <c r="Q49" i="27"/>
  <c r="AD49" i="27" s="1"/>
  <c r="AD48" i="27"/>
  <c r="Z48" i="27"/>
  <c r="T47" i="27"/>
  <c r="S47" i="27"/>
  <c r="R47" i="27"/>
  <c r="Q47" i="27"/>
  <c r="AD47" i="27" s="1"/>
  <c r="N47" i="27"/>
  <c r="T46" i="27"/>
  <c r="S46" i="27"/>
  <c r="R46" i="27"/>
  <c r="Q46" i="27"/>
  <c r="Z46" i="27" s="1"/>
  <c r="T45" i="27"/>
  <c r="Q45" i="27"/>
  <c r="AD45" i="27" s="1"/>
  <c r="AD44" i="27"/>
  <c r="AF44" i="27" s="1"/>
  <c r="Z44" i="27"/>
  <c r="X44" i="27"/>
  <c r="N44" i="27"/>
  <c r="N49" i="27" s="1"/>
  <c r="AD43" i="27"/>
  <c r="Z43" i="27"/>
  <c r="AD42" i="27"/>
  <c r="Z42" i="27"/>
  <c r="X41" i="27"/>
  <c r="T41" i="27"/>
  <c r="S41" i="27"/>
  <c r="R41" i="27"/>
  <c r="Q41" i="27"/>
  <c r="Z41" i="27" s="1"/>
  <c r="P41" i="27"/>
  <c r="O41" i="27"/>
  <c r="N41" i="27"/>
  <c r="T39" i="27"/>
  <c r="S39" i="27"/>
  <c r="R39" i="27"/>
  <c r="Q39" i="27"/>
  <c r="Z39" i="27" s="1"/>
  <c r="P39" i="27"/>
  <c r="T38" i="27"/>
  <c r="S38" i="27"/>
  <c r="R38" i="27"/>
  <c r="Q38" i="27"/>
  <c r="AD38" i="27" s="1"/>
  <c r="P38" i="27"/>
  <c r="AD37" i="27"/>
  <c r="Z37" i="27"/>
  <c r="X37" i="27"/>
  <c r="O37" i="27"/>
  <c r="T36" i="27"/>
  <c r="S36" i="27"/>
  <c r="R36" i="27"/>
  <c r="Q36" i="27"/>
  <c r="Z36" i="27" s="1"/>
  <c r="P36" i="27"/>
  <c r="AD35" i="27"/>
  <c r="Z35" i="27"/>
  <c r="X35" i="27"/>
  <c r="T34" i="27"/>
  <c r="S34" i="27"/>
  <c r="R34" i="27"/>
  <c r="Q34" i="27"/>
  <c r="AD34" i="27" s="1"/>
  <c r="P34" i="27"/>
  <c r="AD33" i="27"/>
  <c r="Z33" i="27"/>
  <c r="X33" i="27"/>
  <c r="AD32" i="27"/>
  <c r="AF32" i="27" s="1"/>
  <c r="AD31" i="27"/>
  <c r="Z31" i="27"/>
  <c r="AD30" i="27"/>
  <c r="Z30" i="27"/>
  <c r="R30" i="27"/>
  <c r="R31" i="27" s="1"/>
  <c r="AD29" i="27"/>
  <c r="AF29" i="27" s="1"/>
  <c r="X29" i="27"/>
  <c r="AD28" i="27"/>
  <c r="AF28" i="27" s="1"/>
  <c r="Z28" i="27"/>
  <c r="X28" i="27"/>
  <c r="X27" i="27"/>
  <c r="Q27" i="27"/>
  <c r="AD27" i="27" s="1"/>
  <c r="AF27" i="27" s="1"/>
  <c r="P27" i="27"/>
  <c r="AD26" i="27"/>
  <c r="AF26" i="27" s="1"/>
  <c r="Z26" i="27"/>
  <c r="X26" i="27"/>
  <c r="AD25" i="27"/>
  <c r="Z25" i="27"/>
  <c r="Y24" i="27"/>
  <c r="W24" i="27"/>
  <c r="Q24" i="27"/>
  <c r="AD24" i="27" s="1"/>
  <c r="P24" i="27"/>
  <c r="W23" i="27"/>
  <c r="Q23" i="27"/>
  <c r="Z23" i="27" s="1"/>
  <c r="P23" i="27"/>
  <c r="X22" i="27"/>
  <c r="Q22" i="27"/>
  <c r="Z22" i="27" s="1"/>
  <c r="P22" i="27"/>
  <c r="W22" i="27" s="1"/>
  <c r="Q20" i="27"/>
  <c r="AD20" i="27" s="1"/>
  <c r="Q19" i="27"/>
  <c r="AD19" i="27" s="1"/>
  <c r="Q18" i="27"/>
  <c r="AD18" i="27" s="1"/>
  <c r="AD17" i="27"/>
  <c r="AF17" i="27" s="1"/>
  <c r="AD16" i="27"/>
  <c r="AF16" i="27" s="1"/>
  <c r="P15" i="27"/>
  <c r="N15" i="27"/>
  <c r="Q15" i="27" s="1"/>
  <c r="R15" i="27" s="1"/>
  <c r="S15" i="27" s="1"/>
  <c r="T15" i="27" s="1"/>
  <c r="Q14" i="27"/>
  <c r="AD14" i="27" s="1"/>
  <c r="P14" i="27"/>
  <c r="N14" i="27"/>
  <c r="P13" i="27"/>
  <c r="N13" i="27"/>
  <c r="Q13" i="27" s="1"/>
  <c r="P12" i="27"/>
  <c r="N12" i="27"/>
  <c r="Q12" i="27" s="1"/>
  <c r="AD11" i="27"/>
  <c r="AF11" i="27" s="1"/>
  <c r="R27" i="27" l="1"/>
  <c r="AI33" i="27"/>
  <c r="AI37" i="27"/>
  <c r="AI52" i="27"/>
  <c r="AI54" i="27"/>
  <c r="AI73" i="27"/>
  <c r="AI67" i="27"/>
  <c r="AD68" i="27"/>
  <c r="AD64" i="27"/>
  <c r="AF64" i="27" s="1"/>
  <c r="AD41" i="27"/>
  <c r="AF41" i="27" s="1"/>
  <c r="AI44" i="27"/>
  <c r="AI74" i="27"/>
  <c r="R20" i="27"/>
  <c r="S20" i="27" s="1"/>
  <c r="T20" i="27" s="1"/>
  <c r="AI26" i="27"/>
  <c r="AI28" i="27"/>
  <c r="Z27" i="27"/>
  <c r="AD23" i="27"/>
  <c r="Z24" i="27"/>
  <c r="R24" i="27"/>
  <c r="R19" i="27"/>
  <c r="S19" i="27" s="1"/>
  <c r="T19" i="27" s="1"/>
  <c r="AI35" i="27"/>
  <c r="AI51" i="27"/>
  <c r="AD72" i="27"/>
  <c r="AD36" i="27"/>
  <c r="AD39" i="27"/>
  <c r="Z49" i="27"/>
  <c r="AD71" i="27"/>
  <c r="Z38" i="27"/>
  <c r="AI55" i="27"/>
  <c r="AD57" i="27"/>
  <c r="AF57" i="27" s="1"/>
  <c r="AD69" i="27"/>
  <c r="AI70" i="27"/>
  <c r="R13" i="27"/>
  <c r="S13" i="27" s="1"/>
  <c r="T13" i="27" s="1"/>
  <c r="AD13" i="27"/>
  <c r="AD53" i="27"/>
  <c r="AF53" i="27" s="1"/>
  <c r="Z53" i="27"/>
  <c r="AD12" i="27"/>
  <c r="R12" i="27"/>
  <c r="S12" i="27" s="1"/>
  <c r="T12" i="27" s="1"/>
  <c r="AI27" i="27"/>
  <c r="Z47" i="27"/>
  <c r="AD22" i="27"/>
  <c r="AF22" i="27" s="1"/>
  <c r="Z34" i="27"/>
  <c r="R14" i="27"/>
  <c r="S14" i="27" s="1"/>
  <c r="T14" i="27" s="1"/>
  <c r="R18" i="27"/>
  <c r="S18" i="27" s="1"/>
  <c r="T18" i="27" s="1"/>
  <c r="AI29" i="27"/>
  <c r="S30" i="27"/>
  <c r="Z45" i="27"/>
  <c r="AD46" i="27"/>
  <c r="AF74" i="27"/>
  <c r="AD15" i="27"/>
  <c r="AF200" i="26"/>
  <c r="AB200" i="26"/>
  <c r="AF199" i="26"/>
  <c r="AB199" i="26"/>
  <c r="AF198" i="26"/>
  <c r="AB198" i="26"/>
  <c r="AF197" i="26"/>
  <c r="AB197" i="26"/>
  <c r="AF196" i="26"/>
  <c r="AB196" i="26"/>
  <c r="AF195" i="26"/>
  <c r="AB195" i="26"/>
  <c r="AF194" i="26"/>
  <c r="AB194" i="26"/>
  <c r="AF193" i="26"/>
  <c r="AB193" i="26"/>
  <c r="AF192" i="26"/>
  <c r="AB192" i="26"/>
  <c r="AF191" i="26"/>
  <c r="AB191" i="26"/>
  <c r="AF190" i="26"/>
  <c r="AB190" i="26"/>
  <c r="AF189" i="26"/>
  <c r="AB189" i="26"/>
  <c r="AF188" i="26"/>
  <c r="AB188" i="26"/>
  <c r="AF187" i="26"/>
  <c r="AB187" i="26"/>
  <c r="AF186" i="26"/>
  <c r="AB186" i="26"/>
  <c r="AF185" i="26"/>
  <c r="AB185" i="26"/>
  <c r="AF184" i="26"/>
  <c r="AB184" i="26"/>
  <c r="AF183" i="26"/>
  <c r="AB183" i="26"/>
  <c r="AF182" i="26"/>
  <c r="AB182" i="26"/>
  <c r="AF181" i="26"/>
  <c r="AB181" i="26"/>
  <c r="AF180" i="26"/>
  <c r="AB180" i="26"/>
  <c r="AF179" i="26"/>
  <c r="AB179" i="26"/>
  <c r="AF178" i="26"/>
  <c r="AB178" i="26"/>
  <c r="AF177" i="26"/>
  <c r="AB177" i="26"/>
  <c r="AF176" i="26"/>
  <c r="AB176" i="26"/>
  <c r="AF175" i="26"/>
  <c r="AB175" i="26"/>
  <c r="AF174" i="26"/>
  <c r="AB174" i="26"/>
  <c r="AF173" i="26"/>
  <c r="AB173" i="26"/>
  <c r="AF172" i="26"/>
  <c r="AB172" i="26"/>
  <c r="AF171" i="26"/>
  <c r="AB171" i="26"/>
  <c r="AF170" i="26"/>
  <c r="AB170" i="26"/>
  <c r="AF169" i="26"/>
  <c r="AB169" i="26"/>
  <c r="AF168" i="26"/>
  <c r="AB168" i="26"/>
  <c r="AF167" i="26"/>
  <c r="AB167" i="26"/>
  <c r="AF166" i="26"/>
  <c r="AB166" i="26"/>
  <c r="AF165" i="26"/>
  <c r="AB165" i="26"/>
  <c r="AF164" i="26"/>
  <c r="AB164" i="26"/>
  <c r="AF163" i="26"/>
  <c r="AB163" i="26"/>
  <c r="AF162" i="26"/>
  <c r="AB162" i="26"/>
  <c r="AF161" i="26"/>
  <c r="AB161" i="26"/>
  <c r="AF160" i="26"/>
  <c r="AB160" i="26"/>
  <c r="AF159" i="26"/>
  <c r="AB159" i="26"/>
  <c r="AF158" i="26"/>
  <c r="AB158" i="26"/>
  <c r="AF157" i="26"/>
  <c r="AB157" i="26"/>
  <c r="AF156" i="26"/>
  <c r="AB156" i="26"/>
  <c r="AF155" i="26"/>
  <c r="AB155" i="26"/>
  <c r="AF154" i="26"/>
  <c r="AB154" i="26"/>
  <c r="AF153" i="26"/>
  <c r="AB153" i="26"/>
  <c r="AF152" i="26"/>
  <c r="AB152" i="26"/>
  <c r="AF151" i="26"/>
  <c r="AB151" i="26"/>
  <c r="AF150" i="26"/>
  <c r="AB150" i="26"/>
  <c r="AF149" i="26"/>
  <c r="AB149" i="26"/>
  <c r="AF148" i="26"/>
  <c r="AB148" i="26"/>
  <c r="AF147" i="26"/>
  <c r="AB147" i="26"/>
  <c r="AF146" i="26"/>
  <c r="AB146" i="26"/>
  <c r="AF145" i="26"/>
  <c r="AB145" i="26"/>
  <c r="AF144" i="26"/>
  <c r="AB144" i="26"/>
  <c r="AF143" i="26"/>
  <c r="AB143" i="26"/>
  <c r="AF142" i="26"/>
  <c r="AB142" i="26"/>
  <c r="AF141" i="26"/>
  <c r="AB141" i="26"/>
  <c r="AD140" i="26"/>
  <c r="AF140" i="26" s="1"/>
  <c r="Z140" i="26"/>
  <c r="AB140" i="26" s="1"/>
  <c r="AD139" i="26"/>
  <c r="Z139" i="26"/>
  <c r="AD138" i="26"/>
  <c r="AF138" i="26" s="1"/>
  <c r="Z138" i="26"/>
  <c r="AB138" i="26" s="1"/>
  <c r="AD137" i="26"/>
  <c r="Z137" i="26"/>
  <c r="AD136" i="26"/>
  <c r="AF136" i="26" s="1"/>
  <c r="Z136" i="26"/>
  <c r="AB136" i="26" s="1"/>
  <c r="AD135" i="26"/>
  <c r="AF135" i="26" s="1"/>
  <c r="Z135" i="26"/>
  <c r="AB135" i="26" s="1"/>
  <c r="AD134" i="26"/>
  <c r="AF134" i="26" s="1"/>
  <c r="Z134" i="26"/>
  <c r="AB134" i="26" s="1"/>
  <c r="AD133" i="26"/>
  <c r="AF133" i="26" s="1"/>
  <c r="Z133" i="26"/>
  <c r="AB133" i="26" s="1"/>
  <c r="AD131" i="26"/>
  <c r="AF131" i="26" s="1"/>
  <c r="Z131" i="26"/>
  <c r="AB131" i="26" s="1"/>
  <c r="AD130" i="26"/>
  <c r="Z130" i="26"/>
  <c r="AD129" i="26"/>
  <c r="Z129" i="26"/>
  <c r="AD128" i="26"/>
  <c r="AF128" i="26" s="1"/>
  <c r="Z128" i="26"/>
  <c r="AB128" i="26" s="1"/>
  <c r="AD127" i="26"/>
  <c r="AF127" i="26" s="1"/>
  <c r="Z127" i="26"/>
  <c r="AB127" i="26" s="1"/>
  <c r="N127" i="26"/>
  <c r="AD126" i="26"/>
  <c r="AF126" i="26" s="1"/>
  <c r="Z126" i="26"/>
  <c r="AB126" i="26" s="1"/>
  <c r="N126" i="26"/>
  <c r="AD123" i="26"/>
  <c r="Z123" i="26"/>
  <c r="AD122" i="26"/>
  <c r="Z122" i="26"/>
  <c r="AD121" i="26"/>
  <c r="AF121" i="26" s="1"/>
  <c r="Z121" i="26"/>
  <c r="AB121" i="26" s="1"/>
  <c r="AD119" i="26"/>
  <c r="Z119" i="26"/>
  <c r="AD118" i="26"/>
  <c r="Z118" i="26"/>
  <c r="AD117" i="26"/>
  <c r="AF117" i="26" s="1"/>
  <c r="Z117" i="26"/>
  <c r="AB117" i="26" s="1"/>
  <c r="AD116" i="26"/>
  <c r="Z116" i="26"/>
  <c r="AD115" i="26"/>
  <c r="Z115" i="26"/>
  <c r="AD114" i="26"/>
  <c r="Z114" i="26"/>
  <c r="AD113" i="26"/>
  <c r="AF113" i="26" s="1"/>
  <c r="Z113" i="26"/>
  <c r="AB113" i="26" s="1"/>
  <c r="AD112" i="26"/>
  <c r="Z112" i="26"/>
  <c r="AD111" i="26"/>
  <c r="Z111" i="26"/>
  <c r="AD110" i="26"/>
  <c r="Z110" i="26"/>
  <c r="AD109" i="26"/>
  <c r="Z109" i="26"/>
  <c r="AD108" i="26"/>
  <c r="Z108" i="26"/>
  <c r="N108" i="26"/>
  <c r="AD107" i="26"/>
  <c r="Z107" i="26"/>
  <c r="N107" i="26"/>
  <c r="AD106" i="26"/>
  <c r="AF106" i="26" s="1"/>
  <c r="Z106" i="26"/>
  <c r="AB106" i="26" s="1"/>
  <c r="AD105" i="26"/>
  <c r="Z105" i="26"/>
  <c r="AD104" i="26"/>
  <c r="Z104" i="26"/>
  <c r="AD103" i="26"/>
  <c r="AF103" i="26" s="1"/>
  <c r="Z103" i="26"/>
  <c r="AB103" i="26" s="1"/>
  <c r="AD100" i="26"/>
  <c r="Z100" i="26"/>
  <c r="AD99" i="26"/>
  <c r="Z99" i="26"/>
  <c r="AD98" i="26"/>
  <c r="AF98" i="26" s="1"/>
  <c r="Z98" i="26"/>
  <c r="AB98" i="26" s="1"/>
  <c r="AD97" i="26"/>
  <c r="Z97" i="26"/>
  <c r="N97" i="26"/>
  <c r="M97" i="26"/>
  <c r="AD96" i="26"/>
  <c r="Z96" i="26"/>
  <c r="N96" i="26"/>
  <c r="M96" i="26"/>
  <c r="AD95" i="26"/>
  <c r="Z95" i="26"/>
  <c r="AD94" i="26"/>
  <c r="AF94" i="26" s="1"/>
  <c r="Z94" i="26"/>
  <c r="AB94" i="26" s="1"/>
  <c r="AD92" i="26"/>
  <c r="AF92" i="26" s="1"/>
  <c r="Z92" i="26"/>
  <c r="AB92" i="26" s="1"/>
  <c r="AD91" i="26"/>
  <c r="Z91" i="26"/>
  <c r="AD90" i="26"/>
  <c r="Z90" i="26"/>
  <c r="AD89" i="26"/>
  <c r="Z89" i="26"/>
  <c r="AD88" i="26"/>
  <c r="AF88" i="26" s="1"/>
  <c r="Z88" i="26"/>
  <c r="AB88" i="26" s="1"/>
  <c r="AD86" i="26"/>
  <c r="Z86" i="26"/>
  <c r="AD85" i="26"/>
  <c r="Z85" i="26"/>
  <c r="AD84" i="26"/>
  <c r="Z84" i="26"/>
  <c r="AD83" i="26"/>
  <c r="Z83" i="26"/>
  <c r="AD82" i="26"/>
  <c r="Z82" i="26"/>
  <c r="AD81" i="26"/>
  <c r="AF81" i="26" s="1"/>
  <c r="Z81" i="26"/>
  <c r="AB81" i="26" s="1"/>
  <c r="AD80" i="26"/>
  <c r="AF80" i="26" s="1"/>
  <c r="Z80" i="26"/>
  <c r="AB80" i="26" s="1"/>
  <c r="AD76" i="26"/>
  <c r="AF76" i="26" s="1"/>
  <c r="AB76" i="26"/>
  <c r="X75" i="26"/>
  <c r="AD74" i="26"/>
  <c r="Z74" i="26"/>
  <c r="X74" i="26"/>
  <c r="AD73" i="26"/>
  <c r="AF73" i="26" s="1"/>
  <c r="Z73" i="26"/>
  <c r="X73" i="26"/>
  <c r="T72" i="26"/>
  <c r="S72" i="26"/>
  <c r="R72" i="26"/>
  <c r="Q72" i="26"/>
  <c r="Z72" i="26" s="1"/>
  <c r="P72" i="26"/>
  <c r="N72" i="26"/>
  <c r="T71" i="26"/>
  <c r="S71" i="26"/>
  <c r="R71" i="26"/>
  <c r="Q71" i="26"/>
  <c r="Z71" i="26" s="1"/>
  <c r="P71" i="26"/>
  <c r="N71" i="26"/>
  <c r="AD70" i="26"/>
  <c r="AF70" i="26" s="1"/>
  <c r="Z70" i="26"/>
  <c r="X70" i="26"/>
  <c r="T69" i="26"/>
  <c r="S69" i="26"/>
  <c r="R69" i="26"/>
  <c r="Q69" i="26"/>
  <c r="Z69" i="26" s="1"/>
  <c r="P69" i="26"/>
  <c r="N69" i="26"/>
  <c r="T68" i="26"/>
  <c r="S68" i="26"/>
  <c r="R68" i="26"/>
  <c r="Q68" i="26"/>
  <c r="Z68" i="26" s="1"/>
  <c r="P68" i="26"/>
  <c r="N68" i="26"/>
  <c r="AD67" i="26"/>
  <c r="AF67" i="26" s="1"/>
  <c r="Z67" i="26"/>
  <c r="X67" i="26"/>
  <c r="AD66" i="26"/>
  <c r="Z66" i="26"/>
  <c r="AD65" i="26"/>
  <c r="Z65" i="26"/>
  <c r="X64" i="26"/>
  <c r="T64" i="26"/>
  <c r="S64" i="26"/>
  <c r="R64" i="26"/>
  <c r="Q64" i="26"/>
  <c r="N64" i="26"/>
  <c r="AD63" i="26"/>
  <c r="Z63" i="26"/>
  <c r="AD62" i="26"/>
  <c r="Z62" i="26"/>
  <c r="AD61" i="26"/>
  <c r="Z61" i="26"/>
  <c r="AD60" i="26"/>
  <c r="Z60" i="26"/>
  <c r="AD59" i="26"/>
  <c r="Z59" i="26"/>
  <c r="AD58" i="26"/>
  <c r="Z58" i="26"/>
  <c r="X57" i="26"/>
  <c r="T57" i="26"/>
  <c r="S57" i="26"/>
  <c r="R57" i="26"/>
  <c r="Q57" i="26"/>
  <c r="N57" i="26"/>
  <c r="AD55" i="26"/>
  <c r="Z55" i="26"/>
  <c r="X55" i="26"/>
  <c r="AD54" i="26"/>
  <c r="Z54" i="26"/>
  <c r="X54" i="26"/>
  <c r="T53" i="26"/>
  <c r="S53" i="26"/>
  <c r="R53" i="26"/>
  <c r="P53" i="26"/>
  <c r="Q53" i="26" s="1"/>
  <c r="N53" i="26"/>
  <c r="AD52" i="26"/>
  <c r="Z52" i="26"/>
  <c r="X52" i="26"/>
  <c r="AD51" i="26"/>
  <c r="Z51" i="26"/>
  <c r="X51" i="26"/>
  <c r="AD50" i="26"/>
  <c r="AF50" i="26" s="1"/>
  <c r="T49" i="26"/>
  <c r="Q49" i="26"/>
  <c r="AD49" i="26" s="1"/>
  <c r="AD48" i="26"/>
  <c r="Z48" i="26"/>
  <c r="T47" i="26"/>
  <c r="S47" i="26"/>
  <c r="R47" i="26"/>
  <c r="Q47" i="26"/>
  <c r="AD47" i="26" s="1"/>
  <c r="N47" i="26"/>
  <c r="T46" i="26"/>
  <c r="S46" i="26"/>
  <c r="R46" i="26"/>
  <c r="Q46" i="26"/>
  <c r="AD46" i="26" s="1"/>
  <c r="T45" i="26"/>
  <c r="Q45" i="26"/>
  <c r="Z45" i="26" s="1"/>
  <c r="AD44" i="26"/>
  <c r="Z44" i="26"/>
  <c r="X44" i="26"/>
  <c r="N44" i="26"/>
  <c r="N49" i="26" s="1"/>
  <c r="AD43" i="26"/>
  <c r="Z43" i="26"/>
  <c r="AD42" i="26"/>
  <c r="Z42" i="26"/>
  <c r="X41" i="26"/>
  <c r="T41" i="26"/>
  <c r="S41" i="26"/>
  <c r="R41" i="26"/>
  <c r="Q41" i="26"/>
  <c r="Z41" i="26" s="1"/>
  <c r="P41" i="26"/>
  <c r="O41" i="26"/>
  <c r="N41" i="26"/>
  <c r="T39" i="26"/>
  <c r="S39" i="26"/>
  <c r="R39" i="26"/>
  <c r="Q39" i="26"/>
  <c r="AD39" i="26" s="1"/>
  <c r="P39" i="26"/>
  <c r="T38" i="26"/>
  <c r="S38" i="26"/>
  <c r="R38" i="26"/>
  <c r="Q38" i="26"/>
  <c r="Z38" i="26" s="1"/>
  <c r="P38" i="26"/>
  <c r="AD37" i="26"/>
  <c r="Z37" i="26"/>
  <c r="X37" i="26"/>
  <c r="O37" i="26"/>
  <c r="T36" i="26"/>
  <c r="S36" i="26"/>
  <c r="R36" i="26"/>
  <c r="Q36" i="26"/>
  <c r="Z36" i="26" s="1"/>
  <c r="P36" i="26"/>
  <c r="AD35" i="26"/>
  <c r="Z35" i="26"/>
  <c r="X35" i="26"/>
  <c r="T34" i="26"/>
  <c r="S34" i="26"/>
  <c r="R34" i="26"/>
  <c r="Q34" i="26"/>
  <c r="AD34" i="26" s="1"/>
  <c r="P34" i="26"/>
  <c r="AD33" i="26"/>
  <c r="Z33" i="26"/>
  <c r="X33" i="26"/>
  <c r="AD32" i="26"/>
  <c r="AF32" i="26" s="1"/>
  <c r="AD31" i="26"/>
  <c r="Z31" i="26"/>
  <c r="AD30" i="26"/>
  <c r="Z30" i="26"/>
  <c r="R30" i="26"/>
  <c r="AD29" i="26"/>
  <c r="AI29" i="26" s="1"/>
  <c r="X29" i="26"/>
  <c r="AD28" i="26"/>
  <c r="AF28" i="26" s="1"/>
  <c r="Z28" i="26"/>
  <c r="X28" i="26"/>
  <c r="X27" i="26"/>
  <c r="Q27" i="26"/>
  <c r="Z27" i="26" s="1"/>
  <c r="P27" i="26"/>
  <c r="AD26" i="26"/>
  <c r="AF26" i="26" s="1"/>
  <c r="Z26" i="26"/>
  <c r="X26" i="26"/>
  <c r="AD25" i="26"/>
  <c r="Z25" i="26"/>
  <c r="Y24" i="26"/>
  <c r="W24" i="26"/>
  <c r="Q24" i="26"/>
  <c r="AD24" i="26" s="1"/>
  <c r="P24" i="26"/>
  <c r="W23" i="26"/>
  <c r="Q23" i="26"/>
  <c r="AD23" i="26" s="1"/>
  <c r="P23" i="26"/>
  <c r="X22" i="26"/>
  <c r="Q22" i="26"/>
  <c r="Z22" i="26" s="1"/>
  <c r="P22" i="26"/>
  <c r="W22" i="26" s="1"/>
  <c r="Q20" i="26"/>
  <c r="R20" i="26" s="1"/>
  <c r="S20" i="26" s="1"/>
  <c r="T20" i="26" s="1"/>
  <c r="Q19" i="26"/>
  <c r="AD19" i="26" s="1"/>
  <c r="Q18" i="26"/>
  <c r="R18" i="26" s="1"/>
  <c r="S18" i="26" s="1"/>
  <c r="T18" i="26" s="1"/>
  <c r="AD17" i="26"/>
  <c r="AF17" i="26" s="1"/>
  <c r="AD16" i="26"/>
  <c r="AF16" i="26" s="1"/>
  <c r="P15" i="26"/>
  <c r="N15" i="26"/>
  <c r="Q15" i="26" s="1"/>
  <c r="P14" i="26"/>
  <c r="N14" i="26"/>
  <c r="Q14" i="26" s="1"/>
  <c r="R14" i="26" s="1"/>
  <c r="S14" i="26" s="1"/>
  <c r="T14" i="26" s="1"/>
  <c r="P13" i="26"/>
  <c r="N13" i="26"/>
  <c r="Q13" i="26" s="1"/>
  <c r="AD13" i="26" s="1"/>
  <c r="P12" i="26"/>
  <c r="N12" i="26"/>
  <c r="Q12" i="26" s="1"/>
  <c r="R12" i="26" s="1"/>
  <c r="S12" i="26" s="1"/>
  <c r="T12" i="26" s="1"/>
  <c r="AD11" i="26"/>
  <c r="AF11" i="26" s="1"/>
  <c r="Z75" i="25"/>
  <c r="Z74" i="25"/>
  <c r="Z73" i="25"/>
  <c r="Z70" i="25"/>
  <c r="Z67" i="25"/>
  <c r="Z64" i="25"/>
  <c r="Z57" i="25"/>
  <c r="Z55" i="25"/>
  <c r="Z54" i="25"/>
  <c r="Z52" i="25"/>
  <c r="Z51" i="25"/>
  <c r="Z44" i="25"/>
  <c r="Z41" i="25"/>
  <c r="Z37" i="25"/>
  <c r="Z35" i="25"/>
  <c r="Z33" i="25"/>
  <c r="Z29" i="25"/>
  <c r="Z28" i="25"/>
  <c r="Z27" i="25"/>
  <c r="Z26" i="25"/>
  <c r="Q75" i="25"/>
  <c r="Q74" i="25"/>
  <c r="Q73" i="25"/>
  <c r="Q70" i="25"/>
  <c r="Q67" i="25"/>
  <c r="Q64" i="25"/>
  <c r="Q57" i="25"/>
  <c r="Q55" i="25"/>
  <c r="Q54" i="25"/>
  <c r="Q52" i="25"/>
  <c r="Q51" i="25"/>
  <c r="Q44" i="25"/>
  <c r="Q41" i="25"/>
  <c r="Q37" i="25"/>
  <c r="Q35" i="25"/>
  <c r="Q33" i="25"/>
  <c r="Q29" i="25"/>
  <c r="Q28" i="25"/>
  <c r="Q27" i="25"/>
  <c r="Q26" i="25"/>
  <c r="Q22" i="25"/>
  <c r="T24" i="25"/>
  <c r="S24" i="25"/>
  <c r="AA24" i="25"/>
  <c r="Y24" i="25"/>
  <c r="Y23" i="25"/>
  <c r="T23" i="25"/>
  <c r="S23" i="25"/>
  <c r="Z22" i="25"/>
  <c r="AI41" i="27" l="1"/>
  <c r="V28" i="31"/>
  <c r="V28" i="30"/>
  <c r="V37" i="31"/>
  <c r="V37" i="30"/>
  <c r="V62" i="31"/>
  <c r="V62" i="30"/>
  <c r="V22" i="31"/>
  <c r="V22" i="30"/>
  <c r="V41" i="31"/>
  <c r="V41" i="30"/>
  <c r="V65" i="31"/>
  <c r="V65" i="30"/>
  <c r="V26" i="31"/>
  <c r="V26" i="30"/>
  <c r="V33" i="31"/>
  <c r="V33" i="30"/>
  <c r="V44" i="31"/>
  <c r="V44" i="30"/>
  <c r="V55" i="31"/>
  <c r="V55" i="30"/>
  <c r="V68" i="31"/>
  <c r="V68" i="30"/>
  <c r="V52" i="31"/>
  <c r="V52" i="30"/>
  <c r="V72" i="31"/>
  <c r="V72" i="30"/>
  <c r="V29" i="31"/>
  <c r="V29" i="30"/>
  <c r="V54" i="31"/>
  <c r="V54" i="30"/>
  <c r="V73" i="31"/>
  <c r="V73" i="30"/>
  <c r="V27" i="31"/>
  <c r="V27" i="30"/>
  <c r="V35" i="31"/>
  <c r="V35" i="30"/>
  <c r="V51" i="31"/>
  <c r="V51" i="30"/>
  <c r="V57" i="31"/>
  <c r="V57" i="30"/>
  <c r="V71" i="31"/>
  <c r="V71" i="30"/>
  <c r="AF44" i="25"/>
  <c r="AB44" i="25"/>
  <c r="AF27" i="25"/>
  <c r="AB27" i="25"/>
  <c r="AB35" i="25"/>
  <c r="AF35" i="25"/>
  <c r="AF51" i="25"/>
  <c r="AB51" i="25"/>
  <c r="AB57" i="25"/>
  <c r="AF57" i="25"/>
  <c r="AF73" i="25"/>
  <c r="AB73" i="25"/>
  <c r="AB22" i="25"/>
  <c r="AF22" i="25"/>
  <c r="AF29" i="25"/>
  <c r="AB29" i="25"/>
  <c r="AF41" i="25"/>
  <c r="AB41" i="25"/>
  <c r="AB54" i="25"/>
  <c r="AF54" i="25"/>
  <c r="AB75" i="25"/>
  <c r="AF75" i="25"/>
  <c r="AF26" i="25"/>
  <c r="AB26" i="25"/>
  <c r="AB33" i="25"/>
  <c r="AF33" i="25"/>
  <c r="AF55" i="25"/>
  <c r="AB55" i="25"/>
  <c r="AF70" i="25"/>
  <c r="AB67" i="25"/>
  <c r="AF67" i="25"/>
  <c r="AB70" i="25"/>
  <c r="AF28" i="25"/>
  <c r="AB28" i="25"/>
  <c r="AB37" i="25"/>
  <c r="AF37" i="25"/>
  <c r="AB52" i="25"/>
  <c r="AF52" i="25"/>
  <c r="AB64" i="25"/>
  <c r="AF64" i="25"/>
  <c r="AB74" i="25"/>
  <c r="AF74" i="25"/>
  <c r="AI28" i="26"/>
  <c r="Q21" i="25"/>
  <c r="AI26" i="26"/>
  <c r="AI67" i="26"/>
  <c r="O8" i="29"/>
  <c r="AI64" i="27"/>
  <c r="V28" i="27"/>
  <c r="V28" i="26"/>
  <c r="V37" i="27"/>
  <c r="V37" i="26"/>
  <c r="V52" i="27"/>
  <c r="V52" i="26"/>
  <c r="V55" i="26"/>
  <c r="V55" i="27"/>
  <c r="V70" i="27"/>
  <c r="V70" i="26"/>
  <c r="V22" i="27"/>
  <c r="V22" i="26"/>
  <c r="V29" i="26"/>
  <c r="V29" i="27"/>
  <c r="V41" i="27"/>
  <c r="V41" i="26"/>
  <c r="V57" i="27"/>
  <c r="V57" i="26"/>
  <c r="V73" i="27"/>
  <c r="V73" i="26"/>
  <c r="V26" i="27"/>
  <c r="V26" i="26"/>
  <c r="V33" i="27"/>
  <c r="V33" i="26"/>
  <c r="V44" i="26"/>
  <c r="V44" i="27"/>
  <c r="V64" i="27"/>
  <c r="V64" i="26"/>
  <c r="V74" i="27"/>
  <c r="V74" i="26"/>
  <c r="V27" i="27"/>
  <c r="V27" i="26"/>
  <c r="V35" i="26"/>
  <c r="V35" i="27"/>
  <c r="V51" i="27"/>
  <c r="V51" i="26"/>
  <c r="V54" i="26"/>
  <c r="V54" i="27"/>
  <c r="V67" i="26"/>
  <c r="V67" i="27"/>
  <c r="V75" i="27"/>
  <c r="V75" i="26"/>
  <c r="AI57" i="27"/>
  <c r="S31" i="27"/>
  <c r="T30" i="27"/>
  <c r="T31" i="27" s="1"/>
  <c r="AI22" i="27"/>
  <c r="AI74" i="26"/>
  <c r="R24" i="26"/>
  <c r="AI33" i="26"/>
  <c r="AD45" i="26"/>
  <c r="AD22" i="26"/>
  <c r="AF22" i="26" s="1"/>
  <c r="Z24" i="26"/>
  <c r="AI37" i="26"/>
  <c r="AI44" i="26"/>
  <c r="AI70" i="26"/>
  <c r="AI52" i="26"/>
  <c r="AI73" i="26"/>
  <c r="R15" i="26"/>
  <c r="S15" i="26" s="1"/>
  <c r="T15" i="26" s="1"/>
  <c r="AD15" i="26"/>
  <c r="AD72" i="26"/>
  <c r="AD12" i="26"/>
  <c r="R27" i="26"/>
  <c r="AF44" i="26"/>
  <c r="AD71" i="26"/>
  <c r="AD38" i="26"/>
  <c r="AD36" i="26"/>
  <c r="Z49" i="26"/>
  <c r="AD69" i="26"/>
  <c r="AD27" i="26"/>
  <c r="AF27" i="26" s="1"/>
  <c r="AF29" i="26"/>
  <c r="Z34" i="26"/>
  <c r="AI35" i="26"/>
  <c r="AI55" i="26"/>
  <c r="AD68" i="26"/>
  <c r="R19" i="26"/>
  <c r="S19" i="26" s="1"/>
  <c r="T19" i="26" s="1"/>
  <c r="AD18" i="26"/>
  <c r="AD20" i="26"/>
  <c r="Z53" i="26"/>
  <c r="AD53" i="26"/>
  <c r="AF53" i="26" s="1"/>
  <c r="Z64" i="26"/>
  <c r="AD64" i="26"/>
  <c r="AF64" i="26" s="1"/>
  <c r="Z23" i="26"/>
  <c r="Z46" i="26"/>
  <c r="AI51" i="26"/>
  <c r="AI54" i="26"/>
  <c r="Z57" i="26"/>
  <c r="AD57" i="26"/>
  <c r="AF57" i="26" s="1"/>
  <c r="Z39" i="26"/>
  <c r="AD41" i="26"/>
  <c r="AF41" i="26" s="1"/>
  <c r="R13" i="26"/>
  <c r="S13" i="26" s="1"/>
  <c r="T13" i="26" s="1"/>
  <c r="AD14" i="26"/>
  <c r="R31" i="26"/>
  <c r="S30" i="26"/>
  <c r="Z47" i="26"/>
  <c r="AF74" i="26"/>
  <c r="U24" i="25"/>
  <c r="V21" i="31" l="1"/>
  <c r="V21" i="30"/>
  <c r="AB50" i="25"/>
  <c r="V50" i="30"/>
  <c r="V50" i="31"/>
  <c r="AF21" i="25"/>
  <c r="AB21" i="25"/>
  <c r="AB53" i="25"/>
  <c r="AB32" i="25"/>
  <c r="AI22" i="26"/>
  <c r="V21" i="27"/>
  <c r="V21" i="26"/>
  <c r="AI41" i="26"/>
  <c r="AI27" i="26"/>
  <c r="AI57" i="26"/>
  <c r="AI64" i="26"/>
  <c r="S31" i="26"/>
  <c r="T30" i="26"/>
  <c r="T31" i="26" s="1"/>
  <c r="P44" i="25" l="1"/>
  <c r="T57" i="25"/>
  <c r="T64" i="25"/>
  <c r="P57" i="25"/>
  <c r="S53" i="25"/>
  <c r="P53" i="25"/>
  <c r="U53" i="25"/>
  <c r="V53" i="25"/>
  <c r="W53" i="25"/>
  <c r="R37" i="25"/>
  <c r="S41" i="25"/>
  <c r="AK54" i="25" l="1"/>
  <c r="AK55" i="25"/>
  <c r="AK57" i="25"/>
  <c r="AK64" i="25"/>
  <c r="T53" i="25"/>
  <c r="AF140" i="25"/>
  <c r="AF139" i="25"/>
  <c r="AF138" i="25"/>
  <c r="AF137" i="25"/>
  <c r="AF136" i="25"/>
  <c r="AF135" i="25"/>
  <c r="AF134" i="25"/>
  <c r="AF133" i="25"/>
  <c r="AF131" i="25"/>
  <c r="AF130" i="25"/>
  <c r="AF129" i="25"/>
  <c r="AF128" i="25"/>
  <c r="AF127" i="25"/>
  <c r="AF126" i="25"/>
  <c r="AF123" i="25"/>
  <c r="AF122" i="25"/>
  <c r="AF121" i="25"/>
  <c r="AF119" i="25"/>
  <c r="AF118" i="25"/>
  <c r="AF117" i="25"/>
  <c r="AF116" i="25"/>
  <c r="AF115" i="25"/>
  <c r="AF114" i="25"/>
  <c r="AF113" i="25"/>
  <c r="AF112" i="25"/>
  <c r="AF111" i="25"/>
  <c r="AF110" i="25"/>
  <c r="AF109" i="25"/>
  <c r="AF108" i="25"/>
  <c r="AF107" i="25"/>
  <c r="AF106" i="25"/>
  <c r="AF105" i="25"/>
  <c r="AF104" i="25"/>
  <c r="AF103" i="25"/>
  <c r="AF100" i="25"/>
  <c r="AF99" i="25"/>
  <c r="AF98" i="25"/>
  <c r="AF97" i="25"/>
  <c r="AF96" i="25"/>
  <c r="AF95" i="25"/>
  <c r="AF94" i="25"/>
  <c r="AF92" i="25"/>
  <c r="AF91" i="25"/>
  <c r="AF90" i="25"/>
  <c r="AF89" i="25"/>
  <c r="AF88" i="25"/>
  <c r="AF86" i="25"/>
  <c r="AF85" i="25"/>
  <c r="AF84" i="25"/>
  <c r="AF83" i="25"/>
  <c r="AF82" i="25"/>
  <c r="AF81" i="25"/>
  <c r="AF80" i="25"/>
  <c r="AK70" i="25"/>
  <c r="AK67" i="25"/>
  <c r="AK52" i="25"/>
  <c r="AK51" i="25"/>
  <c r="AK29" i="25"/>
  <c r="AB140" i="25"/>
  <c r="AD140" i="25" s="1"/>
  <c r="AB139" i="25"/>
  <c r="AB138" i="25"/>
  <c r="AD138" i="25" s="1"/>
  <c r="AB137" i="25"/>
  <c r="AD137" i="25" s="1"/>
  <c r="AB136" i="25"/>
  <c r="AD136" i="25" s="1"/>
  <c r="AB135" i="25"/>
  <c r="AD135" i="25" s="1"/>
  <c r="AB134" i="25"/>
  <c r="AD134" i="25" s="1"/>
  <c r="AB133" i="25"/>
  <c r="AD133" i="25" s="1"/>
  <c r="AB131" i="25"/>
  <c r="AD131" i="25" s="1"/>
  <c r="AB130" i="25"/>
  <c r="AB129" i="25"/>
  <c r="AB128" i="25"/>
  <c r="AD128" i="25" s="1"/>
  <c r="AB127" i="25"/>
  <c r="AD127" i="25" s="1"/>
  <c r="AB126" i="25"/>
  <c r="AD126" i="25" s="1"/>
  <c r="AB123" i="25"/>
  <c r="AB122" i="25"/>
  <c r="AB121" i="25"/>
  <c r="AD121" i="25" s="1"/>
  <c r="AB119" i="25"/>
  <c r="AB118" i="25"/>
  <c r="AB117" i="25"/>
  <c r="AD117" i="25" s="1"/>
  <c r="AB116" i="25"/>
  <c r="AB115" i="25"/>
  <c r="AB114" i="25"/>
  <c r="AB113" i="25"/>
  <c r="AD113" i="25" s="1"/>
  <c r="AB112" i="25"/>
  <c r="AB111" i="25"/>
  <c r="AB110" i="25"/>
  <c r="AB109" i="25"/>
  <c r="AB108" i="25"/>
  <c r="AB107" i="25"/>
  <c r="AB106" i="25"/>
  <c r="AD106" i="25" s="1"/>
  <c r="AB105" i="25"/>
  <c r="AB104" i="25"/>
  <c r="AB103" i="25"/>
  <c r="AD103" i="25" s="1"/>
  <c r="AB100" i="25"/>
  <c r="AB99" i="25"/>
  <c r="AB98" i="25"/>
  <c r="AD98" i="25" s="1"/>
  <c r="AB97" i="25"/>
  <c r="AB96" i="25"/>
  <c r="AB95" i="25"/>
  <c r="AB94" i="25"/>
  <c r="AD94" i="25" s="1"/>
  <c r="AB92" i="25"/>
  <c r="AD92" i="25" s="1"/>
  <c r="AB91" i="25"/>
  <c r="AB90" i="25"/>
  <c r="AB89" i="25"/>
  <c r="AB88" i="25"/>
  <c r="AD88" i="25" s="1"/>
  <c r="AB86" i="25"/>
  <c r="AB85" i="25"/>
  <c r="AB84" i="25"/>
  <c r="AB83" i="25"/>
  <c r="AB82" i="25"/>
  <c r="AB81" i="25"/>
  <c r="AD81" i="25" s="1"/>
  <c r="AB80" i="25"/>
  <c r="AD80" i="25" s="1"/>
  <c r="AK37" i="25"/>
  <c r="AK35" i="25"/>
  <c r="AK33" i="25"/>
  <c r="U64" i="25"/>
  <c r="V64" i="25"/>
  <c r="W64" i="25"/>
  <c r="P64" i="25"/>
  <c r="U57" i="25"/>
  <c r="V57" i="25"/>
  <c r="W57" i="25"/>
  <c r="W49" i="25"/>
  <c r="T49" i="25"/>
  <c r="W47" i="25"/>
  <c r="V47" i="25"/>
  <c r="U47" i="25"/>
  <c r="T47" i="25"/>
  <c r="W46" i="25"/>
  <c r="V46" i="25"/>
  <c r="U46" i="25"/>
  <c r="T46" i="25"/>
  <c r="P47" i="25"/>
  <c r="W41" i="25"/>
  <c r="V41" i="25"/>
  <c r="U41" i="25"/>
  <c r="T41" i="25"/>
  <c r="R41" i="25"/>
  <c r="P41" i="25"/>
  <c r="T36" i="25"/>
  <c r="U36" i="25"/>
  <c r="V36" i="25"/>
  <c r="W36" i="25"/>
  <c r="S36" i="25"/>
  <c r="W34" i="25"/>
  <c r="V34" i="25"/>
  <c r="U34" i="25"/>
  <c r="T34" i="25"/>
  <c r="S34" i="25"/>
  <c r="U30" i="25"/>
  <c r="V30" i="25" s="1"/>
  <c r="T20" i="25"/>
  <c r="U20" i="25" s="1"/>
  <c r="V20" i="25" s="1"/>
  <c r="W20" i="25" s="1"/>
  <c r="T19" i="25"/>
  <c r="U19" i="25" s="1"/>
  <c r="V19" i="25" s="1"/>
  <c r="W19" i="25" s="1"/>
  <c r="T18" i="25"/>
  <c r="U18" i="25" s="1"/>
  <c r="V18" i="25" s="1"/>
  <c r="W18" i="25" s="1"/>
  <c r="S13" i="25"/>
  <c r="S14" i="25"/>
  <c r="S15" i="25"/>
  <c r="S12" i="25"/>
  <c r="P15" i="25"/>
  <c r="T15" i="25" s="1"/>
  <c r="U15" i="25" s="1"/>
  <c r="V15" i="25" s="1"/>
  <c r="W15" i="25" s="1"/>
  <c r="P14" i="25"/>
  <c r="T14" i="25" s="1"/>
  <c r="U14" i="25" s="1"/>
  <c r="V14" i="25" s="1"/>
  <c r="W14" i="25" s="1"/>
  <c r="P13" i="25"/>
  <c r="T13" i="25" s="1"/>
  <c r="U13" i="25" s="1"/>
  <c r="V13" i="25" s="1"/>
  <c r="W13" i="25" s="1"/>
  <c r="P12" i="25"/>
  <c r="AK74" i="25" l="1"/>
  <c r="AK28" i="25"/>
  <c r="AK26" i="25"/>
  <c r="AK73" i="25"/>
  <c r="AK41" i="25"/>
  <c r="U31" i="25"/>
  <c r="W30" i="25"/>
  <c r="W31" i="25" s="1"/>
  <c r="V31" i="25"/>
  <c r="T12" i="25"/>
  <c r="P69" i="25"/>
  <c r="P68" i="25"/>
  <c r="W69" i="25"/>
  <c r="V69" i="25"/>
  <c r="U69" i="25"/>
  <c r="T69" i="25"/>
  <c r="W68" i="25"/>
  <c r="V68" i="25"/>
  <c r="U68" i="25"/>
  <c r="T68" i="25"/>
  <c r="S69" i="25"/>
  <c r="S68" i="25"/>
  <c r="W39" i="25"/>
  <c r="V39" i="25"/>
  <c r="U39" i="25"/>
  <c r="T39" i="25"/>
  <c r="W38" i="25"/>
  <c r="V38" i="25"/>
  <c r="U38" i="25"/>
  <c r="S71" i="25"/>
  <c r="S72" i="25"/>
  <c r="W72" i="25"/>
  <c r="V72" i="25"/>
  <c r="U72" i="25"/>
  <c r="T72" i="25"/>
  <c r="W71" i="25"/>
  <c r="V71" i="25"/>
  <c r="U71" i="25"/>
  <c r="T71" i="25"/>
  <c r="P72" i="25"/>
  <c r="P71" i="25"/>
  <c r="P49" i="25"/>
  <c r="AF76" i="25"/>
  <c r="X23" i="27" l="1"/>
  <c r="Z23" i="25"/>
  <c r="X23" i="26"/>
  <c r="U12" i="25"/>
  <c r="V12" i="25" s="1"/>
  <c r="W12" i="25" s="1"/>
  <c r="T27" i="25"/>
  <c r="S27" i="25"/>
  <c r="S22" i="25"/>
  <c r="Y22" i="25" s="1"/>
  <c r="T22" i="25"/>
  <c r="Y22" i="27" l="1"/>
  <c r="AA22" i="25"/>
  <c r="Y22" i="26"/>
  <c r="U27" i="25"/>
  <c r="AK22" i="25"/>
  <c r="P127" i="25"/>
  <c r="P126" i="25"/>
  <c r="AK27" i="25" l="1"/>
  <c r="P108" i="25"/>
  <c r="P107" i="25"/>
  <c r="P97" i="25"/>
  <c r="P96" i="25"/>
  <c r="O97" i="25"/>
  <c r="O96" i="25"/>
  <c r="AH200" i="25" l="1"/>
  <c r="AD200" i="25"/>
  <c r="AH199" i="25"/>
  <c r="AD199" i="25"/>
  <c r="AH198" i="25"/>
  <c r="AD198" i="25"/>
  <c r="AH197" i="25"/>
  <c r="AD197" i="25"/>
  <c r="AH196" i="25"/>
  <c r="AD196" i="25"/>
  <c r="AH195" i="25"/>
  <c r="AD195" i="25"/>
  <c r="AH194" i="25"/>
  <c r="AD194" i="25"/>
  <c r="AH193" i="25"/>
  <c r="AD193" i="25"/>
  <c r="AH192" i="25"/>
  <c r="AD192" i="25"/>
  <c r="AH191" i="25"/>
  <c r="AD191" i="25"/>
  <c r="AH190" i="25"/>
  <c r="AD190" i="25"/>
  <c r="AH189" i="25"/>
  <c r="AD189" i="25"/>
  <c r="AH188" i="25"/>
  <c r="AD188" i="25"/>
  <c r="AH187" i="25"/>
  <c r="AD187" i="25"/>
  <c r="AH186" i="25"/>
  <c r="AD186" i="25"/>
  <c r="AH185" i="25"/>
  <c r="AD185" i="25"/>
  <c r="AH184" i="25"/>
  <c r="AD184" i="25"/>
  <c r="AH183" i="25"/>
  <c r="AD183" i="25"/>
  <c r="AH182" i="25"/>
  <c r="AD182" i="25"/>
  <c r="AH181" i="25"/>
  <c r="AD181" i="25"/>
  <c r="AH180" i="25"/>
  <c r="AD180" i="25"/>
  <c r="AH179" i="25"/>
  <c r="AD179" i="25"/>
  <c r="AH178" i="25"/>
  <c r="AD178" i="25"/>
  <c r="AH177" i="25"/>
  <c r="AD177" i="25"/>
  <c r="AH176" i="25"/>
  <c r="AD176" i="25"/>
  <c r="AH175" i="25"/>
  <c r="AD175" i="25"/>
  <c r="AH174" i="25"/>
  <c r="AD174" i="25"/>
  <c r="AH173" i="25"/>
  <c r="AD173" i="25"/>
  <c r="AH172" i="25"/>
  <c r="AD172" i="25"/>
  <c r="AH171" i="25"/>
  <c r="AD171" i="25"/>
  <c r="AH170" i="25"/>
  <c r="AD170" i="25"/>
  <c r="AH169" i="25"/>
  <c r="AD169" i="25"/>
  <c r="AH168" i="25"/>
  <c r="AD168" i="25"/>
  <c r="AH167" i="25"/>
  <c r="AD167" i="25"/>
  <c r="AH166" i="25"/>
  <c r="AD166" i="25"/>
  <c r="AH165" i="25"/>
  <c r="AD165" i="25"/>
  <c r="AH164" i="25"/>
  <c r="AD164" i="25"/>
  <c r="AH163" i="25"/>
  <c r="AD163" i="25"/>
  <c r="AH162" i="25"/>
  <c r="AD162" i="25"/>
  <c r="AH161" i="25"/>
  <c r="AD161" i="25"/>
  <c r="AH160" i="25"/>
  <c r="AD160" i="25"/>
  <c r="AH159" i="25"/>
  <c r="AD159" i="25"/>
  <c r="AH158" i="25"/>
  <c r="AD158" i="25"/>
  <c r="AH157" i="25"/>
  <c r="AD157" i="25"/>
  <c r="AH156" i="25"/>
  <c r="AD156" i="25"/>
  <c r="AH155" i="25"/>
  <c r="AD155" i="25"/>
  <c r="AH154" i="25"/>
  <c r="AD154" i="25"/>
  <c r="AH153" i="25"/>
  <c r="AD153" i="25"/>
  <c r="AH152" i="25"/>
  <c r="AD152" i="25"/>
  <c r="AH151" i="25"/>
  <c r="AD151" i="25"/>
  <c r="AH150" i="25"/>
  <c r="AD150" i="25"/>
  <c r="AH149" i="25"/>
  <c r="AD149" i="25"/>
  <c r="AH148" i="25"/>
  <c r="AD148" i="25"/>
  <c r="AH147" i="25"/>
  <c r="AD147" i="25"/>
  <c r="AH146" i="25"/>
  <c r="AD146" i="25"/>
  <c r="AH145" i="25"/>
  <c r="AD145" i="25"/>
  <c r="AH144" i="25"/>
  <c r="AD144" i="25"/>
  <c r="AH143" i="25"/>
  <c r="AD143" i="25"/>
  <c r="AH142" i="25"/>
  <c r="AD142" i="25"/>
  <c r="AH141" i="25"/>
  <c r="AD141" i="25"/>
  <c r="AH140" i="25"/>
  <c r="AH138" i="25"/>
  <c r="AH136" i="25"/>
  <c r="AH135" i="25"/>
  <c r="AH134" i="25"/>
  <c r="AH133" i="25"/>
  <c r="AH131" i="25"/>
  <c r="AH128" i="25"/>
  <c r="AH127" i="25"/>
  <c r="AH126" i="25"/>
  <c r="AH121" i="25"/>
  <c r="AH117" i="25"/>
  <c r="AH113" i="25"/>
  <c r="AH106" i="25"/>
  <c r="AH103" i="25"/>
  <c r="AH98" i="25"/>
  <c r="AH94" i="25"/>
  <c r="AH92" i="25"/>
  <c r="AH88" i="25"/>
  <c r="AH81" i="25"/>
  <c r="AH80" i="25"/>
  <c r="AH76" i="25"/>
  <c r="AD76" i="25"/>
  <c r="R12" i="29" l="1"/>
  <c r="AR12" i="29" s="1"/>
  <c r="R11" i="29"/>
  <c r="U11" i="29" l="1"/>
  <c r="AR11" i="29" s="1"/>
  <c r="O7" i="29" l="1"/>
  <c r="AR7" i="29" s="1"/>
  <c r="AB67" i="31" l="1"/>
  <c r="AB66" i="31"/>
  <c r="AB64" i="31" l="1"/>
  <c r="AB60" i="31"/>
  <c r="AB58" i="31"/>
  <c r="AB47" i="31"/>
  <c r="AB48" i="31"/>
  <c r="AB42" i="31"/>
  <c r="AB48" i="30"/>
  <c r="AH10" i="28"/>
  <c r="AB43" i="31"/>
  <c r="AB69" i="31"/>
  <c r="AE66" i="31"/>
  <c r="AB70" i="31"/>
  <c r="AB63" i="31"/>
  <c r="AB61" i="31"/>
  <c r="AB59" i="31"/>
  <c r="AB45" i="31"/>
  <c r="AB49" i="31"/>
  <c r="AE69" i="31" l="1"/>
  <c r="AE70" i="31"/>
  <c r="AE64" i="31"/>
  <c r="AE63" i="31"/>
  <c r="AE60" i="31"/>
  <c r="AE61" i="31"/>
  <c r="AE58" i="31"/>
  <c r="AE48" i="31"/>
  <c r="AE45" i="31"/>
  <c r="AE49" i="31"/>
  <c r="AE43" i="31"/>
  <c r="AB47" i="30"/>
  <c r="AB49" i="30"/>
  <c r="AI8" i="28"/>
  <c r="AI10" i="28"/>
  <c r="AI9" i="28"/>
  <c r="AH9" i="28"/>
  <c r="AE47" i="31"/>
  <c r="AE42" i="31"/>
  <c r="AE67" i="31"/>
  <c r="AE59" i="31" l="1"/>
  <c r="AB65" i="31"/>
  <c r="AN65" i="31" s="1"/>
  <c r="AB44" i="31"/>
  <c r="AN44" i="31" s="1"/>
  <c r="AB72" i="31"/>
  <c r="AN72" i="31" s="1"/>
  <c r="AB73" i="31"/>
  <c r="AB62" i="31"/>
  <c r="AN62" i="31" s="1"/>
  <c r="AE68" i="31" l="1"/>
  <c r="AB68" i="31"/>
  <c r="AN68" i="31" s="1"/>
  <c r="AE65" i="31"/>
  <c r="AE55" i="31"/>
  <c r="AB55" i="31"/>
  <c r="AN55" i="31" s="1"/>
  <c r="AE54" i="31"/>
  <c r="AB54" i="31"/>
  <c r="AE52" i="31"/>
  <c r="AB52" i="31"/>
  <c r="AN52" i="31" s="1"/>
  <c r="AE51" i="31"/>
  <c r="AB51" i="31"/>
  <c r="AE62" i="31"/>
  <c r="AE44" i="31"/>
  <c r="AE73" i="31"/>
  <c r="AE72" i="31"/>
  <c r="AE24" i="31"/>
  <c r="AB24" i="31"/>
  <c r="AE53" i="31" l="1"/>
  <c r="AD53" i="31" s="1"/>
  <c r="AE50" i="31"/>
  <c r="AE71" i="31"/>
  <c r="AB71" i="31"/>
  <c r="AN71" i="31" s="1"/>
  <c r="AE57" i="31"/>
  <c r="AB57" i="31"/>
  <c r="AN57" i="31" s="1"/>
  <c r="AB53" i="31"/>
  <c r="AA53" i="31" s="1"/>
  <c r="AN54" i="31"/>
  <c r="AN51" i="31"/>
  <c r="AB50" i="31"/>
  <c r="AB56" i="31" l="1"/>
  <c r="AH56" i="31"/>
  <c r="AM56" i="31" s="1"/>
  <c r="AG56" i="30"/>
  <c r="AL56" i="30" s="1"/>
  <c r="AG10" i="28"/>
  <c r="AH8" i="28"/>
  <c r="AE56" i="27"/>
  <c r="AG8" i="28"/>
  <c r="AG9" i="28"/>
  <c r="AE56" i="26"/>
  <c r="AE56" i="31" l="1"/>
  <c r="AI56" i="31"/>
  <c r="AH56" i="30"/>
  <c r="AM56" i="30" s="1"/>
  <c r="AN56" i="31"/>
  <c r="AA22" i="31"/>
  <c r="AM22" i="31" s="1"/>
  <c r="AA23" i="31"/>
  <c r="AA23" i="30"/>
  <c r="AA22" i="30"/>
  <c r="AL22" i="30" s="1"/>
  <c r="AF56" i="27"/>
  <c r="AF56" i="26"/>
  <c r="AB23" i="30" l="1"/>
  <c r="AB22" i="30"/>
  <c r="AM22" i="30" s="1"/>
  <c r="AD26" i="25"/>
  <c r="X8" i="29"/>
  <c r="R8" i="29"/>
  <c r="AE26" i="30"/>
  <c r="AB26" i="26"/>
  <c r="AB26" i="27"/>
  <c r="AB26" i="31" l="1"/>
  <c r="AN26" i="31" s="1"/>
  <c r="AE37" i="31"/>
  <c r="AB37" i="31"/>
  <c r="AN37" i="31" s="1"/>
  <c r="AE35" i="31"/>
  <c r="AB35" i="31"/>
  <c r="AN35" i="31" s="1"/>
  <c r="AE33" i="31"/>
  <c r="AB33" i="31"/>
  <c r="AE28" i="31"/>
  <c r="AB28" i="31"/>
  <c r="AN28" i="31" s="1"/>
  <c r="AB22" i="31"/>
  <c r="AN22" i="31" s="1"/>
  <c r="AB23" i="31"/>
  <c r="AE27" i="31"/>
  <c r="AB27" i="31"/>
  <c r="AN27" i="31" s="1"/>
  <c r="AA8" i="29"/>
  <c r="U8" i="29"/>
  <c r="AE32" i="31" l="1"/>
  <c r="AE26" i="31"/>
  <c r="AB32" i="31"/>
  <c r="AN33" i="31"/>
  <c r="AE23" i="31"/>
  <c r="AE22" i="31"/>
  <c r="AD8" i="29"/>
  <c r="AB8" i="29" s="1"/>
  <c r="AR8" i="29" s="1"/>
  <c r="AA56" i="27"/>
  <c r="AJ56" i="27" s="1"/>
  <c r="AA56" i="26"/>
  <c r="AJ56" i="26" s="1"/>
  <c r="AH26" i="25" l="1"/>
  <c r="AF26" i="31"/>
  <c r="AA29" i="31"/>
  <c r="AM29" i="31" s="1"/>
  <c r="AA29" i="30"/>
  <c r="AL29" i="30" s="1"/>
  <c r="AG26" i="25"/>
  <c r="AL26" i="25" l="1"/>
  <c r="AA26" i="27"/>
  <c r="AJ26" i="27" s="1"/>
  <c r="AA26" i="26"/>
  <c r="AJ26" i="26" s="1"/>
  <c r="AB29" i="30"/>
  <c r="AM29" i="30" s="1"/>
  <c r="AB21" i="30" l="1"/>
  <c r="AB41" i="30"/>
  <c r="AM41" i="30" s="1"/>
  <c r="AB41" i="31"/>
  <c r="AN41" i="31" s="1"/>
  <c r="AE29" i="31" l="1"/>
  <c r="AB29" i="31"/>
  <c r="AN29" i="31" s="1"/>
  <c r="AB21" i="31"/>
  <c r="AH21" i="31"/>
  <c r="AH10" i="31" s="1"/>
  <c r="AG21" i="30"/>
  <c r="AG10" i="30" s="1"/>
  <c r="X40" i="31"/>
  <c r="X10" i="31" s="1"/>
  <c r="X40" i="30"/>
  <c r="X10" i="30" s="1"/>
  <c r="AB9" i="28"/>
  <c r="X40" i="27"/>
  <c r="X10" i="27" s="1"/>
  <c r="AA40" i="27"/>
  <c r="AG7" i="28"/>
  <c r="AE21" i="27"/>
  <c r="AE10" i="27" s="1"/>
  <c r="Z40" i="25"/>
  <c r="Z10" i="25" s="1"/>
  <c r="X40" i="26"/>
  <c r="X10" i="26" s="1"/>
  <c r="AA40" i="26"/>
  <c r="AE21" i="26"/>
  <c r="AE10" i="26" s="1"/>
  <c r="AE21" i="31"/>
  <c r="AB40" i="31"/>
  <c r="AN40" i="31" s="1"/>
  <c r="AB40" i="30"/>
  <c r="AM40" i="30" s="1"/>
  <c r="AE41" i="31"/>
  <c r="AB10" i="30" l="1"/>
  <c r="AB10" i="31"/>
  <c r="AI21" i="31"/>
  <c r="AH21" i="30"/>
  <c r="AJ40" i="27"/>
  <c r="AF21" i="27"/>
  <c r="AF10" i="27" s="1"/>
  <c r="AJ40" i="26"/>
  <c r="AF21" i="26"/>
  <c r="AF10" i="26" s="1"/>
  <c r="AE40" i="31"/>
  <c r="AH10" i="30" l="1"/>
  <c r="AM21" i="30"/>
  <c r="AM10" i="30" s="1"/>
  <c r="AI10" i="31"/>
  <c r="AN21" i="31"/>
  <c r="AN10" i="31" s="1"/>
  <c r="AB8" i="28"/>
  <c r="X24" i="27"/>
  <c r="X24" i="26"/>
  <c r="Z24" i="25"/>
  <c r="AG6" i="28" l="1"/>
  <c r="AG5" i="28"/>
  <c r="AH5" i="28"/>
  <c r="AB49" i="27"/>
  <c r="AB47" i="27"/>
  <c r="AB45" i="27"/>
  <c r="AB43" i="27"/>
  <c r="AB42" i="27"/>
  <c r="AB48" i="27"/>
  <c r="AH6" i="28"/>
  <c r="AH7" i="28"/>
  <c r="AI6" i="28"/>
  <c r="AD37" i="25" l="1"/>
  <c r="AI5" i="28"/>
  <c r="Y41" i="27"/>
  <c r="Y41" i="26"/>
  <c r="AA41" i="25"/>
  <c r="Y67" i="27"/>
  <c r="AA67" i="25"/>
  <c r="Y67" i="26"/>
  <c r="Y26" i="27"/>
  <c r="AK26" i="27" s="1"/>
  <c r="Y23" i="27"/>
  <c r="AA23" i="25"/>
  <c r="Y26" i="26"/>
  <c r="AK26" i="26" s="1"/>
  <c r="Y23" i="26"/>
  <c r="AA26" i="25"/>
  <c r="AM26" i="25" s="1"/>
  <c r="Y33" i="27"/>
  <c r="Y33" i="26"/>
  <c r="AA33" i="25"/>
  <c r="Y44" i="27"/>
  <c r="Y44" i="26"/>
  <c r="AA44" i="25"/>
  <c r="Y55" i="27"/>
  <c r="Y55" i="26"/>
  <c r="AA55" i="25"/>
  <c r="Y70" i="27"/>
  <c r="Y70" i="26"/>
  <c r="AA70" i="25"/>
  <c r="Y75" i="27"/>
  <c r="AA75" i="25"/>
  <c r="Y75" i="26"/>
  <c r="Y35" i="27"/>
  <c r="Y35" i="26"/>
  <c r="AA35" i="25"/>
  <c r="Y73" i="27"/>
  <c r="Y73" i="26"/>
  <c r="AA73" i="25"/>
  <c r="Y29" i="27"/>
  <c r="AA29" i="25"/>
  <c r="Y29" i="26"/>
  <c r="Y54" i="27"/>
  <c r="Y54" i="26"/>
  <c r="AA54" i="25"/>
  <c r="Y27" i="27"/>
  <c r="Y27" i="26"/>
  <c r="AA27" i="25"/>
  <c r="Y51" i="27"/>
  <c r="Y51" i="26"/>
  <c r="AA51" i="25"/>
  <c r="Y57" i="27"/>
  <c r="Y57" i="26"/>
  <c r="AA57" i="25"/>
  <c r="Y28" i="27"/>
  <c r="AA28" i="25"/>
  <c r="Y28" i="26"/>
  <c r="Y37" i="27"/>
  <c r="AA37" i="25"/>
  <c r="Y37" i="26"/>
  <c r="Y52" i="27"/>
  <c r="Y52" i="26"/>
  <c r="AA52" i="25"/>
  <c r="Y64" i="27"/>
  <c r="AA64" i="25"/>
  <c r="Y64" i="26"/>
  <c r="Y74" i="27"/>
  <c r="Y74" i="26"/>
  <c r="AA74" i="25"/>
  <c r="AB42" i="26"/>
  <c r="AB43" i="26"/>
  <c r="AB45" i="26"/>
  <c r="AB47" i="26"/>
  <c r="AB49" i="26"/>
  <c r="AB48" i="26"/>
  <c r="AF49" i="31"/>
  <c r="AF48" i="31"/>
  <c r="AF47" i="31"/>
  <c r="AF42" i="31"/>
  <c r="AF43" i="31"/>
  <c r="AA55" i="27"/>
  <c r="AJ55" i="27" s="1"/>
  <c r="AA54" i="27"/>
  <c r="AJ54" i="27" s="1"/>
  <c r="AF45" i="31"/>
  <c r="AE42" i="30" l="1"/>
  <c r="AE48" i="30"/>
  <c r="AE47" i="30"/>
  <c r="AE45" i="30"/>
  <c r="AE49" i="30"/>
  <c r="AA41" i="27"/>
  <c r="AJ41" i="27" s="1"/>
  <c r="AC41" i="25"/>
  <c r="E14" i="29"/>
  <c r="AR14" i="29" s="1"/>
  <c r="E19" i="29"/>
  <c r="E17" i="29"/>
  <c r="AR17" i="29" s="1"/>
  <c r="E15" i="29"/>
  <c r="AR15" i="29" s="1"/>
  <c r="O16" i="29"/>
  <c r="L16" i="29"/>
  <c r="J16" i="29" s="1"/>
  <c r="AA28" i="27"/>
  <c r="AJ28" i="27" s="1"/>
  <c r="AB37" i="27"/>
  <c r="AK37" i="27" s="1"/>
  <c r="AE37" i="30"/>
  <c r="AB37" i="26"/>
  <c r="AK37" i="26" s="1"/>
  <c r="Y40" i="27"/>
  <c r="Y40" i="26"/>
  <c r="AA40" i="25"/>
  <c r="Y56" i="27"/>
  <c r="AA56" i="25"/>
  <c r="Y56" i="26"/>
  <c r="AG37" i="25"/>
  <c r="Y21" i="27"/>
  <c r="AA21" i="25"/>
  <c r="Y21" i="26"/>
  <c r="AA55" i="26"/>
  <c r="AJ55" i="26" s="1"/>
  <c r="AA54" i="26"/>
  <c r="AJ54" i="26" s="1"/>
  <c r="AA41" i="26"/>
  <c r="AJ41" i="26" s="1"/>
  <c r="R16" i="29"/>
  <c r="AG41" i="25"/>
  <c r="AG55" i="25"/>
  <c r="AL55" i="25" s="1"/>
  <c r="AG54" i="25"/>
  <c r="AG53" i="25" l="1"/>
  <c r="AH37" i="25"/>
  <c r="AM37" i="25" s="1"/>
  <c r="AF37" i="31"/>
  <c r="AL41" i="25"/>
  <c r="AD41" i="31"/>
  <c r="AD41" i="30"/>
  <c r="AA41" i="31"/>
  <c r="AM41" i="31" s="1"/>
  <c r="AA41" i="30"/>
  <c r="AL41" i="30" s="1"/>
  <c r="P16" i="29"/>
  <c r="AL54" i="25"/>
  <c r="M16" i="29"/>
  <c r="AG28" i="25"/>
  <c r="AL28" i="25" s="1"/>
  <c r="AA28" i="26"/>
  <c r="AJ28" i="26" s="1"/>
  <c r="Y10" i="27"/>
  <c r="AR19" i="29"/>
  <c r="AA10" i="25"/>
  <c r="Y10" i="26"/>
  <c r="AA37" i="27"/>
  <c r="AJ37" i="27" s="1"/>
  <c r="AL37" i="25"/>
  <c r="AA37" i="26"/>
  <c r="AJ37" i="26" s="1"/>
  <c r="AC29" i="25"/>
  <c r="AD55" i="25"/>
  <c r="AA44" i="27" l="1"/>
  <c r="AJ44" i="27" s="1"/>
  <c r="AC44" i="25"/>
  <c r="U16" i="29"/>
  <c r="S16" i="29" s="1"/>
  <c r="AB55" i="27"/>
  <c r="AK55" i="27" s="1"/>
  <c r="AA51" i="27"/>
  <c r="AJ51" i="27" s="1"/>
  <c r="AA33" i="27"/>
  <c r="AJ33" i="27" s="1"/>
  <c r="AG29" i="25"/>
  <c r="AA51" i="26"/>
  <c r="AJ51" i="26" s="1"/>
  <c r="AA44" i="26"/>
  <c r="AJ44" i="26" s="1"/>
  <c r="AA33" i="26"/>
  <c r="AJ33" i="26" s="1"/>
  <c r="AB55" i="26"/>
  <c r="AK55" i="26" s="1"/>
  <c r="AE55" i="30"/>
  <c r="AG44" i="25"/>
  <c r="AG51" i="25"/>
  <c r="AL51" i="25" s="1"/>
  <c r="AL44" i="25" l="1"/>
  <c r="AH55" i="25"/>
  <c r="AM55" i="25" s="1"/>
  <c r="AF55" i="31"/>
  <c r="AD29" i="31"/>
  <c r="AD29" i="30"/>
  <c r="AA44" i="31"/>
  <c r="AM44" i="31" s="1"/>
  <c r="AA44" i="30"/>
  <c r="AL44" i="30" s="1"/>
  <c r="AD44" i="31"/>
  <c r="AD44" i="30"/>
  <c r="L15" i="29"/>
  <c r="AD28" i="25"/>
  <c r="AG33" i="25"/>
  <c r="AL33" i="25" s="1"/>
  <c r="AG35" i="25"/>
  <c r="I15" i="29"/>
  <c r="I14" i="29"/>
  <c r="G14" i="29" s="1"/>
  <c r="AC21" i="25"/>
  <c r="AB28" i="27"/>
  <c r="AK28" i="27" s="1"/>
  <c r="AA29" i="27"/>
  <c r="AJ29" i="27" s="1"/>
  <c r="AL29" i="25"/>
  <c r="AA29" i="26"/>
  <c r="AJ29" i="26" s="1"/>
  <c r="AB28" i="26"/>
  <c r="AK28" i="26" s="1"/>
  <c r="AE28" i="30"/>
  <c r="AA52" i="27"/>
  <c r="AJ52" i="27" s="1"/>
  <c r="AD41" i="25"/>
  <c r="AH28" i="25" l="1"/>
  <c r="AF28" i="31"/>
  <c r="AD40" i="31"/>
  <c r="AD40" i="30"/>
  <c r="AA40" i="31"/>
  <c r="AM40" i="31" s="1"/>
  <c r="AA40" i="30"/>
  <c r="AL40" i="30" s="1"/>
  <c r="AM28" i="25"/>
  <c r="AA16" i="29"/>
  <c r="X16" i="29"/>
  <c r="V16" i="29" s="1"/>
  <c r="AA35" i="27"/>
  <c r="AJ35" i="27" s="1"/>
  <c r="AA35" i="26"/>
  <c r="AJ35" i="26" s="1"/>
  <c r="AL35" i="25"/>
  <c r="G15" i="29"/>
  <c r="J15" i="29"/>
  <c r="AB41" i="27"/>
  <c r="AK41" i="27" s="1"/>
  <c r="AG27" i="25"/>
  <c r="AG22" i="25"/>
  <c r="AF24" i="31"/>
  <c r="AB27" i="27"/>
  <c r="AK27" i="27" s="1"/>
  <c r="AA52" i="26"/>
  <c r="AJ52" i="26" s="1"/>
  <c r="AB41" i="26"/>
  <c r="AK41" i="26" s="1"/>
  <c r="AE27" i="30"/>
  <c r="AE41" i="30"/>
  <c r="AF41" i="31"/>
  <c r="AH27" i="25" l="1"/>
  <c r="AF27" i="31"/>
  <c r="AC40" i="25"/>
  <c r="AC10" i="25" s="1"/>
  <c r="AH41" i="25"/>
  <c r="AM41" i="25" s="1"/>
  <c r="AD23" i="31"/>
  <c r="AD22" i="31"/>
  <c r="AD22" i="30"/>
  <c r="AD23" i="30"/>
  <c r="AD27" i="25"/>
  <c r="AM27" i="25" s="1"/>
  <c r="AB27" i="26"/>
  <c r="AK27" i="26" s="1"/>
  <c r="AG52" i="25"/>
  <c r="AL52" i="25" s="1"/>
  <c r="AD16" i="29"/>
  <c r="Y16" i="29"/>
  <c r="Q56" i="25"/>
  <c r="O14" i="29"/>
  <c r="Q40" i="25"/>
  <c r="L14" i="29"/>
  <c r="J14" i="29" s="1"/>
  <c r="AA22" i="27"/>
  <c r="AJ22" i="27" s="1"/>
  <c r="AL22" i="25"/>
  <c r="AA22" i="26"/>
  <c r="AJ22" i="26" s="1"/>
  <c r="AA27" i="27"/>
  <c r="AJ27" i="27" s="1"/>
  <c r="AA27" i="26"/>
  <c r="AJ27" i="26" s="1"/>
  <c r="AL27" i="25"/>
  <c r="O15" i="29"/>
  <c r="M15" i="29" s="1"/>
  <c r="V40" i="31" l="1"/>
  <c r="V40" i="30"/>
  <c r="V56" i="31"/>
  <c r="V56" i="30"/>
  <c r="AD21" i="30"/>
  <c r="AD21" i="31"/>
  <c r="AD10" i="31" s="1"/>
  <c r="AD35" i="25"/>
  <c r="AD33" i="25"/>
  <c r="M14" i="29"/>
  <c r="AG40" i="25"/>
  <c r="AL40" i="25" s="1"/>
  <c r="AG21" i="25"/>
  <c r="AF40" i="25"/>
  <c r="AB40" i="25"/>
  <c r="AF56" i="25"/>
  <c r="AB56" i="25"/>
  <c r="AB16" i="29"/>
  <c r="AR16" i="29" s="1"/>
  <c r="R14" i="29"/>
  <c r="P14" i="29" s="1"/>
  <c r="V40" i="26"/>
  <c r="V40" i="27"/>
  <c r="Q10" i="25"/>
  <c r="V56" i="26"/>
  <c r="V56" i="27"/>
  <c r="AB22" i="26"/>
  <c r="AK22" i="26" s="1"/>
  <c r="AB22" i="27"/>
  <c r="AK22" i="27" s="1"/>
  <c r="AA21" i="27"/>
  <c r="AA21" i="26"/>
  <c r="AB10" i="28"/>
  <c r="AB33" i="27"/>
  <c r="AB35" i="27"/>
  <c r="AK35" i="27" s="1"/>
  <c r="AB35" i="26"/>
  <c r="AK35" i="26" s="1"/>
  <c r="AB33" i="26"/>
  <c r="AE35" i="30"/>
  <c r="AE33" i="30"/>
  <c r="R15" i="29"/>
  <c r="P15" i="29" s="1"/>
  <c r="AD44" i="25"/>
  <c r="V10" i="26" l="1"/>
  <c r="V10" i="30"/>
  <c r="V10" i="31"/>
  <c r="AH35" i="25"/>
  <c r="AM35" i="25" s="1"/>
  <c r="AF35" i="31"/>
  <c r="AH33" i="25"/>
  <c r="AM33" i="25" s="1"/>
  <c r="AF33" i="31"/>
  <c r="AF22" i="31"/>
  <c r="AF23" i="31"/>
  <c r="AH22" i="25"/>
  <c r="AM22" i="25" s="1"/>
  <c r="AE32" i="30"/>
  <c r="AE22" i="30"/>
  <c r="AE23" i="30"/>
  <c r="AD32" i="25"/>
  <c r="AD29" i="25"/>
  <c r="AH32" i="25"/>
  <c r="AB10" i="25"/>
  <c r="AF10" i="25"/>
  <c r="U14" i="29"/>
  <c r="S14" i="29" s="1"/>
  <c r="U15" i="29"/>
  <c r="S15" i="29" s="1"/>
  <c r="V10" i="27"/>
  <c r="O17" i="29"/>
  <c r="L17" i="29"/>
  <c r="L18" i="29"/>
  <c r="L19" i="29"/>
  <c r="AB44" i="27"/>
  <c r="AK44" i="27" s="1"/>
  <c r="I19" i="29"/>
  <c r="G19" i="29" s="1"/>
  <c r="AB32" i="27"/>
  <c r="AA10" i="27"/>
  <c r="AJ21" i="27"/>
  <c r="AJ10" i="27" s="1"/>
  <c r="AK33" i="27"/>
  <c r="AL21" i="25"/>
  <c r="AA10" i="26"/>
  <c r="AJ21" i="26"/>
  <c r="AJ10" i="26" s="1"/>
  <c r="AB29" i="27"/>
  <c r="AK29" i="27" s="1"/>
  <c r="AB44" i="26"/>
  <c r="AK44" i="26" s="1"/>
  <c r="AB29" i="26"/>
  <c r="AK29" i="26" s="1"/>
  <c r="AB32" i="26"/>
  <c r="AK33" i="26"/>
  <c r="AD21" i="25"/>
  <c r="O18" i="29"/>
  <c r="AE44" i="30"/>
  <c r="AF44" i="31"/>
  <c r="AE29" i="30"/>
  <c r="AK22" i="17"/>
  <c r="AJ22" i="17"/>
  <c r="AI22" i="17"/>
  <c r="AG22" i="17"/>
  <c r="AH22" i="17" s="1"/>
  <c r="AF22" i="17"/>
  <c r="AE22" i="17"/>
  <c r="AD22" i="17"/>
  <c r="AK21" i="17"/>
  <c r="AJ21" i="17"/>
  <c r="AI21" i="17"/>
  <c r="AG21" i="17"/>
  <c r="AH21" i="17" s="1"/>
  <c r="AF21" i="17"/>
  <c r="AE21" i="17"/>
  <c r="AD21" i="17"/>
  <c r="AK20" i="17"/>
  <c r="AJ20" i="17"/>
  <c r="AI20" i="17"/>
  <c r="AH20" i="17"/>
  <c r="AG20" i="17"/>
  <c r="AF20" i="17"/>
  <c r="AE20" i="17"/>
  <c r="AD20" i="17"/>
  <c r="AK19" i="17"/>
  <c r="AJ19" i="17"/>
  <c r="AI19" i="17"/>
  <c r="AG19" i="17"/>
  <c r="AF19" i="17"/>
  <c r="AE19" i="17"/>
  <c r="AD19" i="17"/>
  <c r="AK18" i="17"/>
  <c r="AJ18" i="17"/>
  <c r="AI18" i="17"/>
  <c r="AH18" i="17"/>
  <c r="AF18" i="17"/>
  <c r="AE18" i="17"/>
  <c r="AD18" i="17"/>
  <c r="AK17" i="17"/>
  <c r="AK23" i="17" s="1"/>
  <c r="AJ17" i="17"/>
  <c r="AJ23" i="17" s="1"/>
  <c r="AI17" i="17"/>
  <c r="AI23" i="17" s="1"/>
  <c r="AH17" i="17"/>
  <c r="AH23" i="17" s="1"/>
  <c r="AG17" i="17"/>
  <c r="AF17" i="17"/>
  <c r="AE17" i="17"/>
  <c r="AD17" i="17"/>
  <c r="E41" i="17"/>
  <c r="E40" i="17"/>
  <c r="E38" i="17"/>
  <c r="E37" i="17"/>
  <c r="E36" i="17"/>
  <c r="E35" i="17"/>
  <c r="E32" i="17"/>
  <c r="E43" i="17" s="1"/>
  <c r="E23" i="17"/>
  <c r="E15" i="17"/>
  <c r="F20" i="9"/>
  <c r="AF32" i="31" l="1"/>
  <c r="AH29" i="25"/>
  <c r="AM29" i="25" s="1"/>
  <c r="AF29" i="31"/>
  <c r="AH44" i="25"/>
  <c r="M17" i="29"/>
  <c r="R17" i="29"/>
  <c r="P17" i="29" s="1"/>
  <c r="M18" i="29"/>
  <c r="AB6" i="28"/>
  <c r="J19" i="29"/>
  <c r="X14" i="29"/>
  <c r="V14" i="29" s="1"/>
  <c r="AB21" i="27"/>
  <c r="AK21" i="27" s="1"/>
  <c r="AF21" i="31"/>
  <c r="AB21" i="26"/>
  <c r="AE21" i="30"/>
  <c r="R18" i="29"/>
  <c r="P18" i="29" s="1"/>
  <c r="AE23" i="17"/>
  <c r="AF23" i="17"/>
  <c r="E39" i="17"/>
  <c r="AD23" i="17"/>
  <c r="AG23" i="17"/>
  <c r="E42" i="17"/>
  <c r="E33" i="17"/>
  <c r="W12" i="9"/>
  <c r="V12" i="9"/>
  <c r="W11" i="9"/>
  <c r="V11" i="9"/>
  <c r="W10" i="9"/>
  <c r="V10" i="9"/>
  <c r="W9" i="9"/>
  <c r="V9" i="9"/>
  <c r="AH21" i="25" l="1"/>
  <c r="AM21" i="25" s="1"/>
  <c r="U17" i="29"/>
  <c r="S17" i="29" s="1"/>
  <c r="X15" i="29"/>
  <c r="V15" i="29" s="1"/>
  <c r="AK21" i="26"/>
  <c r="U18" i="29"/>
  <c r="S18" i="29" s="1"/>
  <c r="E44" i="17"/>
  <c r="AC31" i="17"/>
  <c r="AC30" i="17"/>
  <c r="AC27" i="17"/>
  <c r="AC26" i="17"/>
  <c r="AC25" i="17"/>
  <c r="M31" i="17"/>
  <c r="U31" i="17" s="1"/>
  <c r="M29" i="17"/>
  <c r="U29" i="17" s="1"/>
  <c r="M27" i="17"/>
  <c r="U27" i="17" s="1"/>
  <c r="M28" i="17"/>
  <c r="U28" i="17" s="1"/>
  <c r="M26" i="17"/>
  <c r="U26" i="17" s="1"/>
  <c r="M25" i="17"/>
  <c r="U25" i="17" s="1"/>
  <c r="AA14" i="29" l="1"/>
  <c r="Y14" i="29" s="1"/>
  <c r="AD15" i="29"/>
  <c r="AD14" i="29"/>
  <c r="AA15" i="29"/>
  <c r="Y15" i="29" s="1"/>
  <c r="X17" i="29"/>
  <c r="V17" i="29" s="1"/>
  <c r="AD54" i="25"/>
  <c r="AD53" i="25" s="1"/>
  <c r="AD52" i="25"/>
  <c r="AC20" i="17"/>
  <c r="AC19" i="17"/>
  <c r="AC18" i="17"/>
  <c r="M21" i="17"/>
  <c r="U21" i="17" s="1"/>
  <c r="M20" i="17"/>
  <c r="U20" i="17" s="1"/>
  <c r="M19" i="17"/>
  <c r="U19" i="17" s="1"/>
  <c r="M18" i="17"/>
  <c r="U18" i="17" s="1"/>
  <c r="AC14" i="17"/>
  <c r="AC10" i="17"/>
  <c r="AC9" i="17"/>
  <c r="AC8" i="17"/>
  <c r="M14" i="17"/>
  <c r="U14" i="17" s="1"/>
  <c r="M13" i="17"/>
  <c r="U13" i="17" s="1"/>
  <c r="M12" i="17"/>
  <c r="U12" i="17" s="1"/>
  <c r="M11" i="17"/>
  <c r="U11" i="17" s="1"/>
  <c r="M10" i="17"/>
  <c r="U10" i="17" s="1"/>
  <c r="U37" i="17" s="1"/>
  <c r="W15" i="9" s="1"/>
  <c r="M9" i="17"/>
  <c r="U9" i="17" s="1"/>
  <c r="U38" i="17" s="1"/>
  <c r="W16" i="9" s="1"/>
  <c r="M8" i="17"/>
  <c r="U8" i="17" s="1"/>
  <c r="AD51" i="25" l="1"/>
  <c r="AD50" i="25" s="1"/>
  <c r="AB14" i="29"/>
  <c r="AB15" i="29"/>
  <c r="AB52" i="27"/>
  <c r="AK52" i="27" s="1"/>
  <c r="AB54" i="27"/>
  <c r="AK54" i="27" s="1"/>
  <c r="I17" i="29"/>
  <c r="J17" i="29" s="1"/>
  <c r="X18" i="29"/>
  <c r="V18" i="29" s="1"/>
  <c r="AB51" i="27"/>
  <c r="AK51" i="27" s="1"/>
  <c r="AB52" i="26"/>
  <c r="AK52" i="26" s="1"/>
  <c r="AB51" i="26"/>
  <c r="AB54" i="26"/>
  <c r="AE51" i="30"/>
  <c r="AE54" i="30"/>
  <c r="AE53" i="30" s="1"/>
  <c r="AD53" i="30" s="1"/>
  <c r="AE52" i="30"/>
  <c r="U41" i="17"/>
  <c r="W18" i="9" s="1"/>
  <c r="U36" i="17"/>
  <c r="W14" i="9" s="1"/>
  <c r="U35" i="17"/>
  <c r="W13" i="9" s="1"/>
  <c r="U15" i="17"/>
  <c r="AC37" i="17"/>
  <c r="AE15" i="9" s="1"/>
  <c r="AC36" i="17"/>
  <c r="AE14" i="9" s="1"/>
  <c r="M30" i="17"/>
  <c r="AH54" i="25" l="1"/>
  <c r="AH53" i="25" s="1"/>
  <c r="AF54" i="31"/>
  <c r="AF53" i="31" s="1"/>
  <c r="AH52" i="25"/>
  <c r="AH50" i="25" s="1"/>
  <c r="AF52" i="31"/>
  <c r="AH51" i="25"/>
  <c r="AF51" i="31"/>
  <c r="AE50" i="30"/>
  <c r="I18" i="29"/>
  <c r="G18" i="29" s="1"/>
  <c r="G17" i="29"/>
  <c r="AD40" i="25"/>
  <c r="AA17" i="29"/>
  <c r="Y17" i="29" s="1"/>
  <c r="AB53" i="27"/>
  <c r="AA53" i="27" s="1"/>
  <c r="AD18" i="29"/>
  <c r="AD17" i="29"/>
  <c r="AA18" i="29"/>
  <c r="Y18" i="29" s="1"/>
  <c r="AB50" i="27"/>
  <c r="AF40" i="31"/>
  <c r="AB40" i="27"/>
  <c r="AB40" i="26"/>
  <c r="AE40" i="30"/>
  <c r="AB50" i="26"/>
  <c r="AK51" i="26"/>
  <c r="AM54" i="25"/>
  <c r="AM51" i="25"/>
  <c r="AB53" i="26"/>
  <c r="AA53" i="26" s="1"/>
  <c r="AK54" i="26"/>
  <c r="AC29" i="17"/>
  <c r="AC28" i="17"/>
  <c r="U30" i="17"/>
  <c r="U32" i="17" s="1"/>
  <c r="U43" i="17" s="1"/>
  <c r="M32" i="17"/>
  <c r="M33" i="17" s="1"/>
  <c r="U39" i="17"/>
  <c r="AC22" i="17"/>
  <c r="AC21" i="17"/>
  <c r="AC17" i="17"/>
  <c r="AC11" i="17"/>
  <c r="AM52" i="25" l="1"/>
  <c r="AF50" i="31"/>
  <c r="AH40" i="25"/>
  <c r="AM40" i="25" s="1"/>
  <c r="AE10" i="31"/>
  <c r="AB17" i="29"/>
  <c r="J18" i="29"/>
  <c r="AB18" i="29"/>
  <c r="AB5" i="28"/>
  <c r="AK40" i="27"/>
  <c r="AK40" i="26"/>
  <c r="M17" i="17"/>
  <c r="U17" i="17" s="1"/>
  <c r="AC40" i="17"/>
  <c r="AE17" i="9" s="1"/>
  <c r="M22" i="17"/>
  <c r="U22" i="17" s="1"/>
  <c r="AC38" i="17"/>
  <c r="AE16" i="9" s="1"/>
  <c r="AB31" i="17"/>
  <c r="AB30" i="17"/>
  <c r="AB27" i="17"/>
  <c r="AB26" i="17"/>
  <c r="AB25" i="17"/>
  <c r="L31" i="17"/>
  <c r="T31" i="17" s="1"/>
  <c r="AB14" i="17"/>
  <c r="AB11" i="17"/>
  <c r="AB10" i="17"/>
  <c r="L21" i="17"/>
  <c r="T21" i="17" s="1"/>
  <c r="L20" i="17"/>
  <c r="T20" i="17" s="1"/>
  <c r="AB9" i="17"/>
  <c r="AB8" i="17"/>
  <c r="AB36" i="17" s="1"/>
  <c r="AD14" i="9" s="1"/>
  <c r="AA8" i="17"/>
  <c r="L11" i="17"/>
  <c r="T11" i="17" s="1"/>
  <c r="L10" i="17"/>
  <c r="L37" i="17" s="1"/>
  <c r="L9" i="17"/>
  <c r="T9" i="17" s="1"/>
  <c r="T38" i="17" s="1"/>
  <c r="V16" i="9" s="1"/>
  <c r="O16" i="9" s="1"/>
  <c r="L8" i="17"/>
  <c r="T8" i="17" s="1"/>
  <c r="AB29" i="17"/>
  <c r="AB28" i="17"/>
  <c r="L22" i="17"/>
  <c r="T22" i="17" s="1"/>
  <c r="AB17" i="17"/>
  <c r="L17" i="17" l="1"/>
  <c r="T17" i="17" s="1"/>
  <c r="T36" i="17"/>
  <c r="V14" i="9" s="1"/>
  <c r="O14" i="9" s="1"/>
  <c r="U40" i="17"/>
  <c r="U23" i="17"/>
  <c r="U33" i="17" s="1"/>
  <c r="AB38" i="17"/>
  <c r="AD16" i="9" s="1"/>
  <c r="AB32" i="17"/>
  <c r="AB43" i="17" s="1"/>
  <c r="AD19" i="9" s="1"/>
  <c r="T10" i="17"/>
  <c r="T37" i="17" s="1"/>
  <c r="V15" i="9" s="1"/>
  <c r="O15" i="9" s="1"/>
  <c r="AB37" i="17"/>
  <c r="AD15" i="9" s="1"/>
  <c r="L38" i="17"/>
  <c r="L36" i="17"/>
  <c r="L30" i="17"/>
  <c r="T30" i="17" s="1"/>
  <c r="L29" i="17"/>
  <c r="T29" i="17" s="1"/>
  <c r="L28" i="17"/>
  <c r="T28" i="17" s="1"/>
  <c r="L27" i="17"/>
  <c r="T27" i="17" s="1"/>
  <c r="L26" i="17"/>
  <c r="T26" i="17" s="1"/>
  <c r="L18" i="17"/>
  <c r="AB18" i="17"/>
  <c r="AB21" i="17"/>
  <c r="AB22" i="17"/>
  <c r="AB48" i="17" l="1"/>
  <c r="AB40" i="17"/>
  <c r="U42" i="17"/>
  <c r="W17" i="9"/>
  <c r="L25" i="17"/>
  <c r="T25" i="17" s="1"/>
  <c r="T32" i="17" s="1"/>
  <c r="AC32" i="17"/>
  <c r="AC43" i="17" s="1"/>
  <c r="L19" i="17"/>
  <c r="L41" i="17" s="1"/>
  <c r="AB19" i="17"/>
  <c r="AB20" i="17"/>
  <c r="L40" i="17"/>
  <c r="T18" i="17"/>
  <c r="AC48" i="17" l="1"/>
  <c r="AE19" i="9"/>
  <c r="W19" i="9"/>
  <c r="U44" i="17"/>
  <c r="W20" i="9" s="1"/>
  <c r="L32" i="17"/>
  <c r="L33" i="17" s="1"/>
  <c r="AB23" i="17"/>
  <c r="AB41" i="17"/>
  <c r="AB42" i="17" s="1"/>
  <c r="AB47" i="17" s="1"/>
  <c r="T19" i="17"/>
  <c r="T41" i="17" s="1"/>
  <c r="V18" i="9" s="1"/>
  <c r="O18" i="9" s="1"/>
  <c r="AC41" i="17"/>
  <c r="AC23" i="17"/>
  <c r="T40" i="17"/>
  <c r="V17" i="9" s="1"/>
  <c r="O17" i="9" s="1"/>
  <c r="AD17" i="9"/>
  <c r="T43" i="17"/>
  <c r="L13" i="17"/>
  <c r="T13" i="17" s="1"/>
  <c r="AB12" i="17"/>
  <c r="L43" i="17" l="1"/>
  <c r="AC42" i="17"/>
  <c r="AC47" i="17" s="1"/>
  <c r="AE18" i="9"/>
  <c r="AC12" i="17"/>
  <c r="L12" i="17"/>
  <c r="T12" i="17" s="1"/>
  <c r="AD18" i="9"/>
  <c r="T23" i="17"/>
  <c r="T42" i="17"/>
  <c r="V19" i="9" s="1"/>
  <c r="O19" i="9" s="1"/>
  <c r="L14" i="17"/>
  <c r="AA29" i="17"/>
  <c r="AC13" i="17" l="1"/>
  <c r="AC15" i="17" s="1"/>
  <c r="AC33" i="17" s="1"/>
  <c r="AB13" i="17"/>
  <c r="T14" i="17"/>
  <c r="L35" i="17"/>
  <c r="Y31" i="17"/>
  <c r="AA31" i="17"/>
  <c r="X31" i="17"/>
  <c r="X21" i="17"/>
  <c r="AB16" i="9"/>
  <c r="Z11" i="17"/>
  <c r="Z10" i="17"/>
  <c r="AC35" i="17" l="1"/>
  <c r="AE13" i="9" s="1"/>
  <c r="AE20" i="9" s="1"/>
  <c r="AB35" i="17"/>
  <c r="AB15" i="17"/>
  <c r="AB33" i="17" s="1"/>
  <c r="T15" i="17"/>
  <c r="T33" i="17" s="1"/>
  <c r="T35" i="17"/>
  <c r="Z38" i="17"/>
  <c r="J12" i="17"/>
  <c r="U12" i="9"/>
  <c r="U11" i="9"/>
  <c r="U10" i="9"/>
  <c r="T9" i="9"/>
  <c r="U8" i="9"/>
  <c r="V8" i="9" s="1"/>
  <c r="W8" i="9" s="1"/>
  <c r="M9" i="9"/>
  <c r="U9" i="9" s="1"/>
  <c r="Z37" i="17"/>
  <c r="AB15" i="9" s="1"/>
  <c r="Z35" i="17"/>
  <c r="AB13" i="9" s="1"/>
  <c r="Z18" i="17"/>
  <c r="AA11" i="17"/>
  <c r="K31" i="17"/>
  <c r="S31" i="17" s="1"/>
  <c r="H28" i="17"/>
  <c r="I28" i="17"/>
  <c r="J28" i="17"/>
  <c r="J27" i="17"/>
  <c r="I20" i="17"/>
  <c r="K20" i="17"/>
  <c r="S20" i="17" s="1"/>
  <c r="AC39" i="17" l="1"/>
  <c r="AC46" i="17" s="1"/>
  <c r="AC44" i="17" s="1"/>
  <c r="AD13" i="9"/>
  <c r="AD20" i="9" s="1"/>
  <c r="AB39" i="17"/>
  <c r="AB46" i="17" s="1"/>
  <c r="AB44" i="17" s="1"/>
  <c r="T39" i="17"/>
  <c r="T44" i="17" s="1"/>
  <c r="V20" i="9" s="1"/>
  <c r="V13" i="9"/>
  <c r="O13" i="9" s="1"/>
  <c r="AA38" i="17"/>
  <c r="AC16" i="9" s="1"/>
  <c r="K30" i="17"/>
  <c r="S30" i="17" s="1"/>
  <c r="AA21" i="17"/>
  <c r="K21" i="17"/>
  <c r="S21" i="17" s="1"/>
  <c r="AA22" i="17"/>
  <c r="K22" i="17"/>
  <c r="S22" i="17" s="1"/>
  <c r="K27" i="17" l="1"/>
  <c r="S27" i="17" s="1"/>
  <c r="Z8" i="17" l="1"/>
  <c r="Z36" i="17" s="1"/>
  <c r="AB14" i="9" l="1"/>
  <c r="Z39" i="17"/>
  <c r="Z46" i="17" s="1"/>
  <c r="K13" i="17"/>
  <c r="S13" i="17" s="1"/>
  <c r="AA12" i="17"/>
  <c r="K12" i="17"/>
  <c r="S12" i="17" s="1"/>
  <c r="AA13" i="17"/>
  <c r="K10" i="17"/>
  <c r="AA10" i="17"/>
  <c r="AA37" i="17" s="1"/>
  <c r="AC15" i="9" s="1"/>
  <c r="K8" i="17"/>
  <c r="S8" i="17" s="1"/>
  <c r="K11" i="17"/>
  <c r="K37" i="17" l="1"/>
  <c r="S10" i="17"/>
  <c r="S37" i="17" s="1"/>
  <c r="U15" i="9" s="1"/>
  <c r="N15" i="9" s="1"/>
  <c r="AA36" i="17"/>
  <c r="AC14" i="9" s="1"/>
  <c r="S11" i="17"/>
  <c r="S38" i="17" s="1"/>
  <c r="U16" i="9" s="1"/>
  <c r="N16" i="9" s="1"/>
  <c r="AA30" i="17"/>
  <c r="K29" i="17"/>
  <c r="S29" i="17" s="1"/>
  <c r="AA27" i="17"/>
  <c r="AA26" i="17"/>
  <c r="K26" i="17"/>
  <c r="S26" i="17" s="1"/>
  <c r="K25" i="17"/>
  <c r="K17" i="17" l="1"/>
  <c r="S17" i="17" s="1"/>
  <c r="K14" i="17"/>
  <c r="S14" i="17" s="1"/>
  <c r="S25" i="17"/>
  <c r="AA14" i="17"/>
  <c r="AA35" i="17" s="1"/>
  <c r="AA25" i="17"/>
  <c r="AA18" i="17"/>
  <c r="K18" i="17"/>
  <c r="K19" i="17"/>
  <c r="AA28" i="17"/>
  <c r="K28" i="17"/>
  <c r="S28" i="17" s="1"/>
  <c r="AA9" i="17"/>
  <c r="K9" i="17"/>
  <c r="Z17" i="17" l="1"/>
  <c r="AA17" i="17"/>
  <c r="AA40" i="17" s="1"/>
  <c r="S19" i="17"/>
  <c r="S41" i="17" s="1"/>
  <c r="U18" i="9" s="1"/>
  <c r="N18" i="9" s="1"/>
  <c r="K41" i="17"/>
  <c r="AA19" i="17"/>
  <c r="AA20" i="17"/>
  <c r="AA15" i="17"/>
  <c r="AA39" i="17"/>
  <c r="AA46" i="17" s="1"/>
  <c r="AC13" i="9"/>
  <c r="S18" i="17"/>
  <c r="K40" i="17"/>
  <c r="AA32" i="17"/>
  <c r="AA43" i="17" s="1"/>
  <c r="S32" i="17"/>
  <c r="S43" i="17" s="1"/>
  <c r="K32" i="17"/>
  <c r="K33" i="17" s="1"/>
  <c r="K36" i="17"/>
  <c r="K38" i="17"/>
  <c r="S9" i="17"/>
  <c r="K35" i="17"/>
  <c r="Z31" i="17"/>
  <c r="H25" i="17"/>
  <c r="P25" i="17" s="1"/>
  <c r="J22" i="17"/>
  <c r="R22" i="17" s="1"/>
  <c r="J21" i="17"/>
  <c r="J11" i="17"/>
  <c r="R11" i="17" s="1"/>
  <c r="R38" i="17" s="1"/>
  <c r="T16" i="9" s="1"/>
  <c r="M16" i="9" s="1"/>
  <c r="R12" i="17"/>
  <c r="J8" i="17"/>
  <c r="R8" i="17" s="1"/>
  <c r="D41" i="17"/>
  <c r="D40" i="17"/>
  <c r="D38" i="17"/>
  <c r="D37" i="17"/>
  <c r="D36" i="17"/>
  <c r="D35" i="17"/>
  <c r="D32" i="17"/>
  <c r="I31" i="17"/>
  <c r="Q31" i="17" s="1"/>
  <c r="H31" i="17"/>
  <c r="P31" i="17" s="1"/>
  <c r="G31" i="17"/>
  <c r="O31" i="17" s="1"/>
  <c r="F31" i="17"/>
  <c r="N31" i="17" s="1"/>
  <c r="Y30" i="17"/>
  <c r="X30" i="17"/>
  <c r="W30" i="17"/>
  <c r="V30" i="17"/>
  <c r="I30" i="17"/>
  <c r="Q30" i="17" s="1"/>
  <c r="H30" i="17"/>
  <c r="P30" i="17" s="1"/>
  <c r="G30" i="17"/>
  <c r="O30" i="17" s="1"/>
  <c r="F30" i="17"/>
  <c r="N30" i="17" s="1"/>
  <c r="Y29" i="17"/>
  <c r="X29" i="17"/>
  <c r="W29" i="17"/>
  <c r="V29" i="17"/>
  <c r="I29" i="17"/>
  <c r="Q29" i="17" s="1"/>
  <c r="H29" i="17"/>
  <c r="P29" i="17" s="1"/>
  <c r="G29" i="17"/>
  <c r="O29" i="17" s="1"/>
  <c r="F29" i="17"/>
  <c r="N29" i="17" s="1"/>
  <c r="X28" i="17"/>
  <c r="W28" i="17"/>
  <c r="V28" i="17"/>
  <c r="Q28" i="17"/>
  <c r="P28" i="17"/>
  <c r="G28" i="17"/>
  <c r="O28" i="17" s="1"/>
  <c r="F28" i="17"/>
  <c r="N28" i="17" s="1"/>
  <c r="Y27" i="17"/>
  <c r="X27" i="17"/>
  <c r="W27" i="17"/>
  <c r="V27" i="17"/>
  <c r="I27" i="17"/>
  <c r="Q27" i="17" s="1"/>
  <c r="H27" i="17"/>
  <c r="P27" i="17" s="1"/>
  <c r="G27" i="17"/>
  <c r="O27" i="17" s="1"/>
  <c r="F27" i="17"/>
  <c r="N27" i="17" s="1"/>
  <c r="Y26" i="17"/>
  <c r="Z26" i="17" s="1"/>
  <c r="X26" i="17"/>
  <c r="W26" i="17"/>
  <c r="V26" i="17"/>
  <c r="I26" i="17"/>
  <c r="Q26" i="17" s="1"/>
  <c r="H26" i="17"/>
  <c r="P26" i="17" s="1"/>
  <c r="G26" i="17"/>
  <c r="O26" i="17" s="1"/>
  <c r="F26" i="17"/>
  <c r="N26" i="17" s="1"/>
  <c r="Y25" i="17"/>
  <c r="X25" i="17"/>
  <c r="W25" i="17"/>
  <c r="G25" i="17"/>
  <c r="O25" i="17" s="1"/>
  <c r="F25" i="17"/>
  <c r="N25" i="17" s="1"/>
  <c r="D23" i="17"/>
  <c r="Y22" i="17"/>
  <c r="Z22" i="17" s="1"/>
  <c r="X22" i="17"/>
  <c r="W22" i="17"/>
  <c r="V22" i="17"/>
  <c r="I22" i="17"/>
  <c r="Q22" i="17" s="1"/>
  <c r="H22" i="17"/>
  <c r="P22" i="17" s="1"/>
  <c r="G22" i="17"/>
  <c r="O22" i="17" s="1"/>
  <c r="F22" i="17"/>
  <c r="N22" i="17" s="1"/>
  <c r="Y21" i="17"/>
  <c r="Z21" i="17" s="1"/>
  <c r="W21" i="17"/>
  <c r="V21" i="17"/>
  <c r="I21" i="17"/>
  <c r="Q21" i="17" s="1"/>
  <c r="H21" i="17"/>
  <c r="P21" i="17" s="1"/>
  <c r="G21" i="17"/>
  <c r="O21" i="17" s="1"/>
  <c r="F21" i="17"/>
  <c r="N21" i="17" s="1"/>
  <c r="X20" i="17"/>
  <c r="W20" i="17"/>
  <c r="V20" i="17"/>
  <c r="Q20" i="17"/>
  <c r="O20" i="17"/>
  <c r="N20" i="17"/>
  <c r="Y19" i="17"/>
  <c r="X19" i="17"/>
  <c r="W19" i="17"/>
  <c r="V19" i="17"/>
  <c r="I19" i="17"/>
  <c r="Q19" i="17" s="1"/>
  <c r="H19" i="17"/>
  <c r="G19" i="17"/>
  <c r="G41" i="17" s="1"/>
  <c r="F19" i="17"/>
  <c r="F41" i="17" s="1"/>
  <c r="X18" i="17"/>
  <c r="W18" i="17"/>
  <c r="V18" i="17"/>
  <c r="H18" i="17"/>
  <c r="P18" i="17" s="1"/>
  <c r="G18" i="17"/>
  <c r="O18" i="17" s="1"/>
  <c r="F18" i="17"/>
  <c r="N18" i="17" s="1"/>
  <c r="Y17" i="17"/>
  <c r="X17" i="17"/>
  <c r="W17" i="17"/>
  <c r="V17" i="17"/>
  <c r="I17" i="17"/>
  <c r="H17" i="17"/>
  <c r="G17" i="17"/>
  <c r="O17" i="17" s="1"/>
  <c r="F17" i="17"/>
  <c r="N17" i="17" s="1"/>
  <c r="D15" i="17"/>
  <c r="Y14" i="17"/>
  <c r="X14" i="17"/>
  <c r="W14" i="17"/>
  <c r="V14" i="17"/>
  <c r="I14" i="17"/>
  <c r="Q14" i="17" s="1"/>
  <c r="H14" i="17"/>
  <c r="P14" i="17" s="1"/>
  <c r="G14" i="17"/>
  <c r="O14" i="17" s="1"/>
  <c r="F14" i="17"/>
  <c r="N14" i="17" s="1"/>
  <c r="Y13" i="17"/>
  <c r="X13" i="17"/>
  <c r="W13" i="17"/>
  <c r="V13" i="17"/>
  <c r="I13" i="17"/>
  <c r="Q13" i="17" s="1"/>
  <c r="H13" i="17"/>
  <c r="P13" i="17" s="1"/>
  <c r="G13" i="17"/>
  <c r="O13" i="17" s="1"/>
  <c r="F13" i="17"/>
  <c r="N13" i="17" s="1"/>
  <c r="Y12" i="17"/>
  <c r="X12" i="17"/>
  <c r="W12" i="17"/>
  <c r="V12" i="17"/>
  <c r="I12" i="17"/>
  <c r="Q12" i="17" s="1"/>
  <c r="H12" i="17"/>
  <c r="P12" i="17" s="1"/>
  <c r="G12" i="17"/>
  <c r="O12" i="17" s="1"/>
  <c r="F12" i="17"/>
  <c r="N12" i="17" s="1"/>
  <c r="Y11" i="17"/>
  <c r="Y38" i="17" s="1"/>
  <c r="X11" i="17"/>
  <c r="X38" i="17" s="1"/>
  <c r="W11" i="17"/>
  <c r="W38" i="17" s="1"/>
  <c r="V11" i="17"/>
  <c r="I11" i="17"/>
  <c r="Q11" i="17" s="1"/>
  <c r="H11" i="17"/>
  <c r="P11" i="17" s="1"/>
  <c r="G11" i="17"/>
  <c r="O11" i="17" s="1"/>
  <c r="F11" i="17"/>
  <c r="N11" i="17" s="1"/>
  <c r="Y10" i="17"/>
  <c r="Y37" i="17" s="1"/>
  <c r="AA15" i="9" s="1"/>
  <c r="X10" i="17"/>
  <c r="X37" i="17" s="1"/>
  <c r="W10" i="17"/>
  <c r="W37" i="17" s="1"/>
  <c r="V10" i="17"/>
  <c r="V37" i="17" s="1"/>
  <c r="I10" i="17"/>
  <c r="H10" i="17"/>
  <c r="H37" i="17" s="1"/>
  <c r="G10" i="17"/>
  <c r="G37" i="17" s="1"/>
  <c r="F10" i="17"/>
  <c r="F37" i="17" s="1"/>
  <c r="Y9" i="17"/>
  <c r="X9" i="17"/>
  <c r="W9" i="17"/>
  <c r="V9" i="17"/>
  <c r="I9" i="17"/>
  <c r="H9" i="17"/>
  <c r="G9" i="17"/>
  <c r="G35" i="17" s="1"/>
  <c r="F9" i="17"/>
  <c r="N9" i="17" s="1"/>
  <c r="N38" i="17" s="1"/>
  <c r="Y8" i="17"/>
  <c r="Y36" i="17" s="1"/>
  <c r="AA14" i="9" s="1"/>
  <c r="X8" i="17"/>
  <c r="X36" i="17" s="1"/>
  <c r="Z14" i="9" s="1"/>
  <c r="W8" i="17"/>
  <c r="V8" i="17"/>
  <c r="V36" i="17" s="1"/>
  <c r="I8" i="17"/>
  <c r="H8" i="17"/>
  <c r="G8" i="17"/>
  <c r="O8" i="17" s="1"/>
  <c r="F8" i="17"/>
  <c r="N8" i="17" s="1"/>
  <c r="Q12" i="9"/>
  <c r="P12" i="9"/>
  <c r="Q11" i="9"/>
  <c r="R11" i="9" s="1"/>
  <c r="S11" i="9" s="1"/>
  <c r="P11" i="9"/>
  <c r="Q10" i="9"/>
  <c r="R10" i="9" s="1"/>
  <c r="P10" i="9"/>
  <c r="R9" i="9"/>
  <c r="Q9" i="9"/>
  <c r="P9" i="9"/>
  <c r="Q8" i="9"/>
  <c r="R8" i="9" s="1"/>
  <c r="S8" i="9" s="1"/>
  <c r="P8" i="9"/>
  <c r="P7" i="9"/>
  <c r="K9" i="9"/>
  <c r="J8" i="9"/>
  <c r="K8" i="9" s="1"/>
  <c r="L8" i="9" s="1"/>
  <c r="M8" i="9" s="1"/>
  <c r="N8" i="9" s="1"/>
  <c r="O8" i="9" s="1"/>
  <c r="J7" i="9"/>
  <c r="K7" i="9" s="1"/>
  <c r="L7" i="9" s="1"/>
  <c r="M7" i="9" s="1"/>
  <c r="N7" i="9" s="1"/>
  <c r="O7" i="9" s="1"/>
  <c r="D33" i="17" l="1"/>
  <c r="D39" i="17"/>
  <c r="D42" i="17"/>
  <c r="X41" i="17"/>
  <c r="Z18" i="9" s="1"/>
  <c r="AA23" i="17"/>
  <c r="AA33" i="17" s="1"/>
  <c r="P16" i="9"/>
  <c r="H16" i="9" s="1"/>
  <c r="V40" i="17"/>
  <c r="X17" i="9" s="1"/>
  <c r="Q8" i="17"/>
  <c r="I36" i="17"/>
  <c r="Q10" i="17"/>
  <c r="Q37" i="17" s="1"/>
  <c r="S15" i="9" s="1"/>
  <c r="L15" i="9" s="1"/>
  <c r="I37" i="17"/>
  <c r="V35" i="17"/>
  <c r="X13" i="9" s="1"/>
  <c r="V38" i="17"/>
  <c r="W41" i="17"/>
  <c r="Y18" i="9" s="1"/>
  <c r="V41" i="17"/>
  <c r="H38" i="17"/>
  <c r="H35" i="17"/>
  <c r="W40" i="17"/>
  <c r="P8" i="17"/>
  <c r="H36" i="17"/>
  <c r="X40" i="17"/>
  <c r="AA41" i="17"/>
  <c r="AA42" i="17" s="1"/>
  <c r="Q9" i="17"/>
  <c r="Q38" i="17" s="1"/>
  <c r="S16" i="9" s="1"/>
  <c r="L16" i="9" s="1"/>
  <c r="I35" i="17"/>
  <c r="P17" i="17"/>
  <c r="P40" i="17" s="1"/>
  <c r="R17" i="9" s="1"/>
  <c r="J17" i="9" s="1"/>
  <c r="H40" i="17"/>
  <c r="Y40" i="17"/>
  <c r="N40" i="17"/>
  <c r="P17" i="9" s="1"/>
  <c r="H17" i="9" s="1"/>
  <c r="Z40" i="17"/>
  <c r="AC19" i="9"/>
  <c r="AA48" i="17"/>
  <c r="R21" i="17"/>
  <c r="AC17" i="9"/>
  <c r="S23" i="17"/>
  <c r="S40" i="17"/>
  <c r="K43" i="17"/>
  <c r="S36" i="17"/>
  <c r="U14" i="9" s="1"/>
  <c r="N14" i="9" s="1"/>
  <c r="S15" i="17"/>
  <c r="S35" i="17"/>
  <c r="J31" i="17"/>
  <c r="R31" i="17" s="1"/>
  <c r="J26" i="17"/>
  <c r="R27" i="17"/>
  <c r="R28" i="17"/>
  <c r="J29" i="17"/>
  <c r="R29" i="17" s="1"/>
  <c r="J30" i="17"/>
  <c r="R30" i="17" s="1"/>
  <c r="Y15" i="17"/>
  <c r="F36" i="17"/>
  <c r="I38" i="17"/>
  <c r="F43" i="17"/>
  <c r="O32" i="17"/>
  <c r="O43" i="17" s="1"/>
  <c r="W15" i="17"/>
  <c r="O9" i="17"/>
  <c r="W35" i="17"/>
  <c r="Y13" i="9" s="1"/>
  <c r="V15" i="17"/>
  <c r="V23" i="17"/>
  <c r="Q41" i="17"/>
  <c r="S18" i="9" s="1"/>
  <c r="L18" i="9" s="1"/>
  <c r="P32" i="17"/>
  <c r="P43" i="17" s="1"/>
  <c r="P9" i="17"/>
  <c r="X35" i="17"/>
  <c r="F40" i="17"/>
  <c r="N19" i="17"/>
  <c r="N23" i="17" s="1"/>
  <c r="Y35" i="17"/>
  <c r="X23" i="17"/>
  <c r="W23" i="17"/>
  <c r="O19" i="17"/>
  <c r="O23" i="17" s="1"/>
  <c r="F35" i="17"/>
  <c r="P19" i="17"/>
  <c r="X32" i="17"/>
  <c r="F38" i="17"/>
  <c r="N32" i="17"/>
  <c r="N43" i="17" s="1"/>
  <c r="O40" i="17"/>
  <c r="Q17" i="9" s="1"/>
  <c r="I17" i="9" s="1"/>
  <c r="N36" i="17"/>
  <c r="P14" i="9" s="1"/>
  <c r="H14" i="9" s="1"/>
  <c r="N35" i="17"/>
  <c r="P13" i="9" s="1"/>
  <c r="H13" i="9" s="1"/>
  <c r="W36" i="17"/>
  <c r="Y14" i="9" s="1"/>
  <c r="X15" i="17"/>
  <c r="G36" i="17"/>
  <c r="G38" i="17"/>
  <c r="N10" i="17"/>
  <c r="N37" i="17" s="1"/>
  <c r="P15" i="9" s="1"/>
  <c r="H15" i="9" s="1"/>
  <c r="Q17" i="17"/>
  <c r="H32" i="17"/>
  <c r="H43" i="17" s="1"/>
  <c r="D43" i="17"/>
  <c r="O10" i="17"/>
  <c r="G40" i="17"/>
  <c r="P10" i="17"/>
  <c r="P37" i="17" s="1"/>
  <c r="R15" i="9" s="1"/>
  <c r="J15" i="9" s="1"/>
  <c r="G43" i="17"/>
  <c r="Q7" i="9"/>
  <c r="D20" i="9"/>
  <c r="D44" i="17" l="1"/>
  <c r="X42" i="17"/>
  <c r="X47" i="17" s="1"/>
  <c r="Q36" i="17"/>
  <c r="S14" i="9" s="1"/>
  <c r="L14" i="9" s="1"/>
  <c r="Q35" i="17"/>
  <c r="S13" i="9" s="1"/>
  <c r="L13" i="9" s="1"/>
  <c r="Q15" i="17"/>
  <c r="P35" i="17"/>
  <c r="R13" i="9" s="1"/>
  <c r="K13" i="9" s="1"/>
  <c r="P38" i="17"/>
  <c r="R16" i="9" s="1"/>
  <c r="O35" i="17"/>
  <c r="Q13" i="9" s="1"/>
  <c r="I13" i="9" s="1"/>
  <c r="O38" i="17"/>
  <c r="Q16" i="9" s="1"/>
  <c r="I16" i="9" s="1"/>
  <c r="K15" i="9"/>
  <c r="K17" i="9"/>
  <c r="O37" i="17"/>
  <c r="Q15" i="9" s="1"/>
  <c r="I15" i="9" s="1"/>
  <c r="Q18" i="9"/>
  <c r="I18" i="9" s="1"/>
  <c r="AB17" i="9"/>
  <c r="V42" i="17"/>
  <c r="V47" i="17" s="1"/>
  <c r="X18" i="9"/>
  <c r="V39" i="17"/>
  <c r="V46" i="17" s="1"/>
  <c r="Y39" i="17"/>
  <c r="Y46" i="17" s="1"/>
  <c r="AA13" i="9"/>
  <c r="Z17" i="9"/>
  <c r="AC18" i="9"/>
  <c r="AC20" i="9" s="1"/>
  <c r="AA17" i="9"/>
  <c r="X39" i="17"/>
  <c r="X46" i="17" s="1"/>
  <c r="Z13" i="9"/>
  <c r="W42" i="17"/>
  <c r="W47" i="17" s="1"/>
  <c r="Y17" i="9"/>
  <c r="AA47" i="17"/>
  <c r="AA44" i="17" s="1"/>
  <c r="S33" i="17"/>
  <c r="U17" i="9"/>
  <c r="N17" i="9" s="1"/>
  <c r="S42" i="17"/>
  <c r="U19" i="9" s="1"/>
  <c r="N19" i="9" s="1"/>
  <c r="U13" i="9"/>
  <c r="N13" i="9" s="1"/>
  <c r="S39" i="17"/>
  <c r="O36" i="17"/>
  <c r="Q14" i="9" s="1"/>
  <c r="I14" i="9" s="1"/>
  <c r="R26" i="17"/>
  <c r="X43" i="17"/>
  <c r="X33" i="17"/>
  <c r="W39" i="17"/>
  <c r="W46" i="17" s="1"/>
  <c r="N41" i="17"/>
  <c r="N39" i="17"/>
  <c r="O41" i="17"/>
  <c r="O42" i="17" s="1"/>
  <c r="Q19" i="9" s="1"/>
  <c r="I19" i="9" s="1"/>
  <c r="P36" i="17"/>
  <c r="N15" i="17"/>
  <c r="N33" i="17" s="1"/>
  <c r="P15" i="17"/>
  <c r="O15" i="17"/>
  <c r="O33" i="17" s="1"/>
  <c r="R7" i="9"/>
  <c r="Q39" i="17" l="1"/>
  <c r="J13" i="9"/>
  <c r="J16" i="9"/>
  <c r="K16" i="9"/>
  <c r="N42" i="17"/>
  <c r="P19" i="9" s="1"/>
  <c r="H19" i="9" s="1"/>
  <c r="P18" i="9"/>
  <c r="P39" i="17"/>
  <c r="R14" i="9"/>
  <c r="O39" i="17"/>
  <c r="O44" i="17" s="1"/>
  <c r="Q20" i="9" s="1"/>
  <c r="X48" i="17"/>
  <c r="X44" i="17" s="1"/>
  <c r="Z19" i="9"/>
  <c r="Z20" i="9" s="1"/>
  <c r="S44" i="17"/>
  <c r="U20" i="9" s="1"/>
  <c r="S7" i="9"/>
  <c r="T7" i="9" s="1"/>
  <c r="U7" i="9" s="1"/>
  <c r="V7" i="9" s="1"/>
  <c r="W7" i="9" s="1"/>
  <c r="N44" i="17" l="1"/>
  <c r="J14" i="9"/>
  <c r="K14" i="9"/>
  <c r="H18" i="9"/>
  <c r="P20" i="9"/>
  <c r="W31" i="17"/>
  <c r="W32" i="17" s="1"/>
  <c r="V31" i="17"/>
  <c r="W33" i="17" l="1"/>
  <c r="W43" i="17"/>
  <c r="J25" i="17"/>
  <c r="Z28" i="17"/>
  <c r="Z32" i="17" s="1"/>
  <c r="Z43" i="17" s="1"/>
  <c r="W48" i="17" l="1"/>
  <c r="W44" i="17" s="1"/>
  <c r="Y19" i="9"/>
  <c r="Y20" i="9" s="1"/>
  <c r="Z48" i="17"/>
  <c r="AB19" i="9"/>
  <c r="J32" i="17"/>
  <c r="J43" i="17" s="1"/>
  <c r="R25" i="17"/>
  <c r="R32" i="17" s="1"/>
  <c r="R43" i="17" s="1"/>
  <c r="J13" i="17" l="1"/>
  <c r="J14" i="17"/>
  <c r="R14" i="17" s="1"/>
  <c r="J17" i="17"/>
  <c r="J19" i="17"/>
  <c r="Z20" i="17"/>
  <c r="Z9" i="17"/>
  <c r="Z15" i="17" s="1"/>
  <c r="J9" i="17"/>
  <c r="J10" i="17"/>
  <c r="J18" i="17"/>
  <c r="R18" i="17" s="1"/>
  <c r="Z41" i="17" l="1"/>
  <c r="Z23" i="17"/>
  <c r="Z33" i="17" s="1"/>
  <c r="R19" i="17"/>
  <c r="R17" i="17"/>
  <c r="R40" i="17" s="1"/>
  <c r="T17" i="9" s="1"/>
  <c r="M17" i="9" s="1"/>
  <c r="J40" i="17"/>
  <c r="R10" i="17"/>
  <c r="R37" i="17" s="1"/>
  <c r="T15" i="9" s="1"/>
  <c r="M15" i="9" s="1"/>
  <c r="J37" i="17"/>
  <c r="R9" i="17"/>
  <c r="R36" i="17" s="1"/>
  <c r="T14" i="9" s="1"/>
  <c r="M14" i="9" s="1"/>
  <c r="J38" i="17"/>
  <c r="J36" i="17"/>
  <c r="R13" i="17"/>
  <c r="J35" i="17"/>
  <c r="J20" i="17"/>
  <c r="R20" i="17" s="1"/>
  <c r="R23" i="17" l="1"/>
  <c r="AB18" i="9"/>
  <c r="AB20" i="9" s="1"/>
  <c r="Z42" i="17"/>
  <c r="Z47" i="17" s="1"/>
  <c r="Z44" i="17" s="1"/>
  <c r="J41" i="17"/>
  <c r="R41" i="17"/>
  <c r="R35" i="17"/>
  <c r="R39" i="17" s="1"/>
  <c r="R15" i="17"/>
  <c r="J23" i="17"/>
  <c r="J33" i="17" s="1"/>
  <c r="R33" i="17" l="1"/>
  <c r="T13" i="9"/>
  <c r="M13" i="9" s="1"/>
  <c r="T18" i="9"/>
  <c r="M18" i="9" s="1"/>
  <c r="R42" i="17"/>
  <c r="T19" i="9" s="1"/>
  <c r="M19" i="9" s="1"/>
  <c r="Y28" i="17"/>
  <c r="Y32" i="17" s="1"/>
  <c r="Y43" i="17" s="1"/>
  <c r="AA19" i="9" l="1"/>
  <c r="Y48" i="17"/>
  <c r="V25" i="17"/>
  <c r="V32" i="17" s="1"/>
  <c r="V33" i="17" s="1"/>
  <c r="Y20" i="17"/>
  <c r="R44" i="17"/>
  <c r="T20" i="9" s="1"/>
  <c r="I25" i="17"/>
  <c r="H20" i="17"/>
  <c r="I18" i="17"/>
  <c r="V43" i="17" l="1"/>
  <c r="V48" i="17" s="1"/>
  <c r="V44" i="17" s="1"/>
  <c r="Y41" i="17"/>
  <c r="Y23" i="17"/>
  <c r="Y33" i="17" s="1"/>
  <c r="I32" i="17"/>
  <c r="I43" i="17" s="1"/>
  <c r="Q25" i="17"/>
  <c r="Q32" i="17" s="1"/>
  <c r="Q43" i="17" s="1"/>
  <c r="H41" i="17"/>
  <c r="P20" i="17"/>
  <c r="H23" i="17"/>
  <c r="H33" i="17" s="1"/>
  <c r="Q18" i="17"/>
  <c r="I23" i="17"/>
  <c r="X19" i="9" l="1"/>
  <c r="X20" i="9" s="1"/>
  <c r="AA18" i="9"/>
  <c r="AA20" i="9" s="1"/>
  <c r="Y42" i="17"/>
  <c r="Y47" i="17" s="1"/>
  <c r="Y44" i="17" s="1"/>
  <c r="I33" i="17"/>
  <c r="P23" i="17"/>
  <c r="P33" i="17" s="1"/>
  <c r="P41" i="17"/>
  <c r="Q23" i="17"/>
  <c r="Q33" i="17" s="1"/>
  <c r="Q40" i="17"/>
  <c r="Q42" i="17" l="1"/>
  <c r="S17" i="9"/>
  <c r="L17" i="9" s="1"/>
  <c r="P42" i="17"/>
  <c r="R18" i="9"/>
  <c r="Q44" i="17" l="1"/>
  <c r="S20" i="9" s="1"/>
  <c r="S19" i="9"/>
  <c r="L19" i="9" s="1"/>
  <c r="J18" i="9"/>
  <c r="K18" i="9"/>
  <c r="R19" i="9"/>
  <c r="P44" i="17"/>
  <c r="R20" i="9" s="1"/>
  <c r="J19" i="9" l="1"/>
  <c r="K19" i="9"/>
  <c r="AA21" i="31" l="1"/>
  <c r="AA21" i="30"/>
  <c r="AA10" i="30" l="1"/>
  <c r="AL21" i="30"/>
  <c r="AL10" i="30" s="1"/>
  <c r="AM21" i="31"/>
  <c r="AM10" i="31" s="1"/>
  <c r="AA10" i="31"/>
  <c r="S38" i="25" l="1"/>
  <c r="S39" i="25"/>
  <c r="AM44" i="25"/>
  <c r="W45" i="25"/>
  <c r="T45" i="25"/>
  <c r="AK44" i="25" l="1"/>
  <c r="AI7" i="28" l="1"/>
  <c r="AD70" i="25" l="1"/>
  <c r="AD73" i="25"/>
  <c r="AD74" i="25"/>
  <c r="AF58" i="31"/>
  <c r="AF67" i="31"/>
  <c r="AE68" i="30"/>
  <c r="AB70" i="27"/>
  <c r="AK70" i="27" s="1"/>
  <c r="AB70" i="26"/>
  <c r="AK70" i="26" s="1"/>
  <c r="AH70" i="25" l="1"/>
  <c r="AM70" i="25" s="1"/>
  <c r="AF68" i="31"/>
  <c r="AD67" i="25"/>
  <c r="AD64" i="25"/>
  <c r="AB73" i="27"/>
  <c r="AK73" i="27" s="1"/>
  <c r="AE71" i="30"/>
  <c r="AB73" i="26"/>
  <c r="AK73" i="26" s="1"/>
  <c r="AD75" i="25"/>
  <c r="AB74" i="27"/>
  <c r="AK74" i="27" s="1"/>
  <c r="AB74" i="26"/>
  <c r="AK74" i="26" s="1"/>
  <c r="AE72" i="30"/>
  <c r="AA57" i="27"/>
  <c r="AJ57" i="27" s="1"/>
  <c r="AF61" i="31"/>
  <c r="AB67" i="26"/>
  <c r="AK67" i="26" s="1"/>
  <c r="AB67" i="27"/>
  <c r="AK67" i="27" s="1"/>
  <c r="AE65" i="30"/>
  <c r="AF60" i="31"/>
  <c r="AF64" i="31"/>
  <c r="AB64" i="26"/>
  <c r="AK64" i="26" s="1"/>
  <c r="AE62" i="30"/>
  <c r="AB64" i="27"/>
  <c r="AK64" i="27" s="1"/>
  <c r="AF66" i="31"/>
  <c r="AF59" i="31"/>
  <c r="AF70" i="31"/>
  <c r="AA67" i="27"/>
  <c r="AJ67" i="27" s="1"/>
  <c r="AF69" i="31"/>
  <c r="AF63" i="31"/>
  <c r="AH74" i="25" l="1"/>
  <c r="AM74" i="25" s="1"/>
  <c r="AF72" i="31"/>
  <c r="AH73" i="25"/>
  <c r="AM73" i="25" s="1"/>
  <c r="AF71" i="31"/>
  <c r="AH67" i="25"/>
  <c r="AM67" i="25" s="1"/>
  <c r="AF65" i="31"/>
  <c r="AH64" i="25"/>
  <c r="AM64" i="25" s="1"/>
  <c r="AF62" i="31"/>
  <c r="AD57" i="25"/>
  <c r="AE56" i="30"/>
  <c r="AE10" i="30" s="1"/>
  <c r="AA67" i="26"/>
  <c r="AJ67" i="26" s="1"/>
  <c r="AB75" i="26"/>
  <c r="AE73" i="30"/>
  <c r="AB75" i="27"/>
  <c r="AG57" i="25"/>
  <c r="AL57" i="25" s="1"/>
  <c r="AA57" i="26"/>
  <c r="AJ57" i="26" s="1"/>
  <c r="AG74" i="25"/>
  <c r="AL74" i="25" s="1"/>
  <c r="AG75" i="25"/>
  <c r="AG67" i="25"/>
  <c r="AL67" i="25" s="1"/>
  <c r="AD57" i="30"/>
  <c r="AA70" i="26"/>
  <c r="AJ70" i="26" s="1"/>
  <c r="AA70" i="27"/>
  <c r="AJ70" i="27" s="1"/>
  <c r="AA74" i="27"/>
  <c r="AJ74" i="27" s="1"/>
  <c r="AA74" i="26"/>
  <c r="AJ74" i="26" s="1"/>
  <c r="AG73" i="25"/>
  <c r="AL73" i="25" s="1"/>
  <c r="AB57" i="27"/>
  <c r="AK57" i="27" s="1"/>
  <c r="AB57" i="26"/>
  <c r="AK57" i="26" s="1"/>
  <c r="AE57" i="30"/>
  <c r="AA64" i="27"/>
  <c r="AJ64" i="27" s="1"/>
  <c r="AA64" i="26"/>
  <c r="AJ64" i="26" s="1"/>
  <c r="AG70" i="25"/>
  <c r="AL70" i="25" s="1"/>
  <c r="AB7" i="28"/>
  <c r="AG64" i="25"/>
  <c r="AL64" i="25" s="1"/>
  <c r="AA73" i="26"/>
  <c r="AJ73" i="26" s="1"/>
  <c r="AA73" i="27"/>
  <c r="AJ73" i="27" s="1"/>
  <c r="AH75" i="25" l="1"/>
  <c r="AF73" i="31"/>
  <c r="AH57" i="25"/>
  <c r="AM57" i="25" s="1"/>
  <c r="AF57" i="31"/>
  <c r="AB56" i="26"/>
  <c r="AK56" i="26" s="1"/>
  <c r="AK10" i="26" s="1"/>
  <c r="AD56" i="25"/>
  <c r="AD10" i="25" s="1"/>
  <c r="AB56" i="27"/>
  <c r="AB10" i="27" s="1"/>
  <c r="AA75" i="27"/>
  <c r="AA75" i="26"/>
  <c r="AH56" i="25" l="1"/>
  <c r="AH10" i="25" s="1"/>
  <c r="AF56" i="31"/>
  <c r="AF10" i="31" s="1"/>
  <c r="AD56" i="30"/>
  <c r="AD10" i="30" s="1"/>
  <c r="AM56" i="25"/>
  <c r="AM10" i="25" s="1"/>
  <c r="AB10" i="26"/>
  <c r="AK56" i="27"/>
  <c r="AK10" i="27" s="1"/>
  <c r="AG56" i="25"/>
  <c r="O19" i="29"/>
  <c r="M19" i="29" s="1"/>
  <c r="AG10" i="25" l="1"/>
  <c r="AL56" i="25"/>
  <c r="AL10" i="25" s="1"/>
  <c r="R19" i="29"/>
  <c r="P19" i="29" s="1"/>
  <c r="U19" i="29" l="1"/>
  <c r="S19" i="29" s="1"/>
  <c r="X19" i="29" l="1"/>
  <c r="V19" i="29" s="1"/>
  <c r="AD19" i="29" l="1"/>
  <c r="AA19" i="29"/>
  <c r="Y19" i="29" s="1"/>
  <c r="AB19" i="29" l="1"/>
  <c r="L13" i="29" l="1"/>
  <c r="E13" i="29"/>
  <c r="AC5" i="28"/>
  <c r="AC6" i="28"/>
  <c r="I13" i="29"/>
  <c r="G13" i="29" l="1"/>
  <c r="I20" i="29"/>
  <c r="J13" i="29"/>
  <c r="AR13" i="29"/>
  <c r="E20" i="29"/>
  <c r="AR20" i="29" s="1"/>
  <c r="L20" i="29"/>
  <c r="O13" i="29" l="1"/>
  <c r="M13" i="29" s="1"/>
  <c r="AC7" i="28"/>
  <c r="J20" i="29"/>
  <c r="K20" i="29"/>
  <c r="G20" i="29"/>
  <c r="H20" i="29"/>
  <c r="O20" i="29" l="1"/>
  <c r="R13" i="29"/>
  <c r="P13" i="29" s="1"/>
  <c r="AC8" i="28"/>
  <c r="AC9" i="28" l="1"/>
  <c r="N20" i="29"/>
  <c r="M20" i="29"/>
  <c r="U13" i="29"/>
  <c r="S13" i="29" s="1"/>
  <c r="R20" i="29"/>
  <c r="Q20" i="29" l="1"/>
  <c r="P20" i="29"/>
  <c r="U20" i="29"/>
  <c r="X13" i="29"/>
  <c r="V13" i="29" s="1"/>
  <c r="AA13" i="29" l="1"/>
  <c r="Y13" i="29" s="1"/>
  <c r="AC10" i="28"/>
  <c r="X20" i="29"/>
  <c r="T20" i="29"/>
  <c r="S20" i="29"/>
  <c r="AD13" i="29" l="1"/>
  <c r="AB13" i="29" s="1"/>
  <c r="V20" i="29"/>
  <c r="W20" i="29"/>
  <c r="AA20" i="29"/>
  <c r="AD20" i="29" l="1"/>
  <c r="Y20" i="29"/>
  <c r="Z20" i="29"/>
  <c r="AB20" i="29" l="1"/>
  <c r="AC2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00000000-0006-0000-0200-000001000000}">
      <text>
        <r>
          <rPr>
            <b/>
            <sz val="9"/>
            <color indexed="81"/>
            <rFont val="Tahoma"/>
            <family val="2"/>
          </rPr>
          <t>User:</t>
        </r>
        <r>
          <rPr>
            <sz val="9"/>
            <color indexed="81"/>
            <rFont val="Tahoma"/>
            <family val="2"/>
          </rPr>
          <t xml:space="preserve">
Ex. 2b. 40,000 farmers (of whom 16,000 are women) trained in CSA and Agribusiness Development Skills (ADS), of which 50% are SRP compliant with direct links to millers and exporters (2017 baseline for SRP compliance: 0).
Hence, 
1- Primary indicator is "40,000 farmers trained in CSA and ADS", while
2- Secondary Indicator is "of which 50% are SRP compliant with direct links to millers and exporters.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XMG</author>
  </authors>
  <commentList>
    <comment ref="D7" authorId="0" shapeId="0" xr:uid="{00000000-0006-0000-0300-000001000000}">
      <text>
        <r>
          <rPr>
            <b/>
            <sz val="9"/>
            <color indexed="81"/>
            <rFont val="Tahoma"/>
            <family val="2"/>
          </rPr>
          <t>User:</t>
        </r>
        <r>
          <rPr>
            <sz val="9"/>
            <color indexed="81"/>
            <rFont val="Tahoma"/>
            <family val="2"/>
          </rPr>
          <t xml:space="preserve">
Several individual meetings with Mr. Vanarath - Head of DoP office/MAFF, and Mr. Mak Many - Head of DoP/MAFF, there is neither  indicators codes related, nor database system.</t>
        </r>
      </text>
    </comment>
    <comment ref="AA8" authorId="0" shapeId="0" xr:uid="{00000000-0006-0000-0300-000002000000}">
      <text>
        <r>
          <rPr>
            <b/>
            <sz val="9"/>
            <color indexed="81"/>
            <rFont val="Tahoma"/>
            <family val="2"/>
          </rPr>
          <t>User:</t>
        </r>
        <r>
          <rPr>
            <sz val="9"/>
            <color indexed="81"/>
            <rFont val="Tahoma"/>
            <family val="2"/>
          </rPr>
          <t xml:space="preserve">
Linked from DMF sheet of Physical Progress.</t>
        </r>
      </text>
    </comment>
    <comment ref="AD8" authorId="0" shapeId="0" xr:uid="{00000000-0006-0000-0300-000003000000}">
      <text>
        <r>
          <rPr>
            <b/>
            <sz val="9"/>
            <color indexed="81"/>
            <rFont val="Tahoma"/>
            <family val="2"/>
          </rPr>
          <t>User:</t>
        </r>
        <r>
          <rPr>
            <sz val="9"/>
            <color indexed="81"/>
            <rFont val="Tahoma"/>
            <family val="2"/>
          </rPr>
          <t xml:space="preserve">
Linked from DMF sheet of Physical Progress.</t>
        </r>
      </text>
    </comment>
    <comment ref="AH8" authorId="0" shapeId="0" xr:uid="{00000000-0006-0000-0300-000004000000}">
      <text>
        <r>
          <rPr>
            <b/>
            <sz val="9"/>
            <color indexed="81"/>
            <rFont val="Tahoma"/>
            <family val="2"/>
          </rPr>
          <t>User:</t>
        </r>
        <r>
          <rPr>
            <sz val="9"/>
            <color indexed="81"/>
            <rFont val="Tahoma"/>
            <family val="2"/>
          </rPr>
          <t xml:space="preserve">
Linked from DMF sheet of Physical Progress.</t>
        </r>
      </text>
    </comment>
    <comment ref="E10" authorId="1" shapeId="0" xr:uid="{00000000-0006-0000-0300-000005000000}">
      <text>
        <r>
          <rPr>
            <b/>
            <sz val="9"/>
            <color indexed="81"/>
            <rFont val="Tahoma"/>
            <family val="2"/>
          </rPr>
          <t>XMG:</t>
        </r>
        <r>
          <rPr>
            <sz val="9"/>
            <color indexed="81"/>
            <rFont val="Tahoma"/>
            <family val="2"/>
          </rPr>
          <t xml:space="preserve">
PAM, p. 52, 53.</t>
        </r>
      </text>
    </comment>
    <comment ref="T23" authorId="0" shapeId="0" xr:uid="{00000000-0006-0000-0300-000006000000}">
      <text>
        <r>
          <rPr>
            <b/>
            <sz val="9"/>
            <color indexed="81"/>
            <rFont val="Tahoma"/>
            <family val="2"/>
          </rPr>
          <t>User:</t>
        </r>
        <r>
          <rPr>
            <sz val="9"/>
            <color indexed="81"/>
            <rFont val="Tahoma"/>
            <family val="2"/>
          </rPr>
          <t xml:space="preserve">
Take 1 out is Ko Eurt Irrigation system in Batheay district, KPC, with reason due to PDoWRAM is repairing under the MoWRAM budget. </t>
        </r>
      </text>
    </comment>
    <comment ref="E60" authorId="0" shapeId="0" xr:uid="{00000000-0006-0000-0300-000007000000}">
      <text>
        <r>
          <rPr>
            <b/>
            <sz val="9"/>
            <color indexed="81"/>
            <rFont val="Tahoma"/>
            <family val="2"/>
          </rPr>
          <t>User:</t>
        </r>
        <r>
          <rPr>
            <sz val="9"/>
            <color indexed="81"/>
            <rFont val="Tahoma"/>
            <family val="2"/>
          </rPr>
          <t xml:space="preserve">
Just requested by Agro-Industry Dept., MAFF in 2021.</t>
        </r>
      </text>
    </comment>
    <comment ref="E80" authorId="1" shapeId="0" xr:uid="{00000000-0006-0000-0300-000008000000}">
      <text>
        <r>
          <rPr>
            <b/>
            <sz val="9"/>
            <color indexed="81"/>
            <rFont val="Tahoma"/>
            <family val="2"/>
          </rPr>
          <t>XMG:</t>
        </r>
        <r>
          <rPr>
            <sz val="9"/>
            <color indexed="81"/>
            <rFont val="Tahoma"/>
            <family val="2"/>
          </rPr>
          <t xml:space="preserve">
PAM, p. 47-50
Gender activities/actions,
1.1.1 Involve women and Women Farmers Network
(WFN) representatives actively and meaningfully in each
individual event for all consultations and planning activities related to improvement and climate resiliency of critical infrastructure supported by the project.
- This would mean paying attention to the following
aspects: convenient time, adequate venue, information sharing with visual aids/illustrations, having female facilitators, child supervision arrangements, etc.
</t>
        </r>
      </text>
    </comment>
    <comment ref="E88" authorId="1" shapeId="0" xr:uid="{00000000-0006-0000-0300-000009000000}">
      <text>
        <r>
          <rPr>
            <b/>
            <sz val="9"/>
            <color indexed="81"/>
            <rFont val="Tahoma"/>
            <family val="2"/>
          </rPr>
          <t xml:space="preserve">XMG:
</t>
        </r>
        <r>
          <rPr>
            <sz val="9"/>
            <color indexed="81"/>
            <rFont val="Tahoma"/>
            <family val="2"/>
          </rPr>
          <t xml:space="preserve">Gender activities/actions,
1.2.1 Ensure women benefit from jobs created by the project related to infrastructure construction/rehabilitation as well as operation and maintenance.
- This would mean that information about such employment opportunities will be communicated through adequate channels to reach out women in the
communities.
- Core labor standards will be complied with (equal pay for work of equal value, no child labor) for all civil works related to the project.
- Other measures that are needed will be taken (e.g. child supervision arrangements even if informal) so that interested women can grasp such opportunities.
</t>
        </r>
      </text>
    </comment>
    <comment ref="E92" authorId="1" shapeId="0" xr:uid="{00000000-0006-0000-0300-00000A000000}">
      <text>
        <r>
          <rPr>
            <b/>
            <sz val="9"/>
            <color indexed="81"/>
            <rFont val="Tahoma"/>
            <family val="2"/>
          </rPr>
          <t>XMG:</t>
        </r>
        <r>
          <rPr>
            <sz val="9"/>
            <color indexed="81"/>
            <rFont val="Tahoma"/>
            <family val="2"/>
          </rPr>
          <t xml:space="preserve">
Gender activities/actions,
1.2.2 Provide skills enhancement for women in infrastructure related construction/rehabilitation (e.g. masonry skills for bio-digesters construction), and operation and maintenance (e.g. small-scale irrigation schemes).</t>
        </r>
      </text>
    </comment>
    <comment ref="E94" authorId="1" shapeId="0" xr:uid="{00000000-0006-0000-0300-00000B000000}">
      <text>
        <r>
          <rPr>
            <b/>
            <sz val="9"/>
            <color indexed="81"/>
            <rFont val="Tahoma"/>
            <family val="2"/>
          </rPr>
          <t>XMG:</t>
        </r>
        <r>
          <rPr>
            <sz val="9"/>
            <color indexed="81"/>
            <rFont val="Tahoma"/>
            <family val="2"/>
          </rPr>
          <t xml:space="preserve">
Gender activities/actions,
1.3.1 As part of the promotion campaigns about biodigesters and other renewable energy solutions, raise awareness among women and men in the communities about the benefits for value chain improvement/climate change but also for greater gender equality (time saving, drudgery reduction, improved health).
</t>
        </r>
      </text>
    </comment>
    <comment ref="E98" authorId="1" shapeId="0" xr:uid="{00000000-0006-0000-0300-00000C000000}">
      <text>
        <r>
          <rPr>
            <b/>
            <sz val="9"/>
            <color indexed="81"/>
            <rFont val="Tahoma"/>
            <family val="2"/>
          </rPr>
          <t>XMG:</t>
        </r>
        <r>
          <rPr>
            <sz val="9"/>
            <color indexed="81"/>
            <rFont val="Tahoma"/>
            <family val="2"/>
          </rPr>
          <t xml:space="preserve">
Gender activities/actions,
1.3.2 Involve women as active agents in the promotion campaigns on the use of renewable energy solutions.</t>
        </r>
      </text>
    </comment>
    <comment ref="E103" authorId="1" shapeId="0" xr:uid="{00000000-0006-0000-0300-00000D000000}">
      <text>
        <r>
          <rPr>
            <b/>
            <sz val="9"/>
            <color indexed="81"/>
            <rFont val="Tahoma"/>
            <family val="2"/>
          </rPr>
          <t>XMG:</t>
        </r>
        <r>
          <rPr>
            <sz val="9"/>
            <color indexed="81"/>
            <rFont val="Tahoma"/>
            <family val="2"/>
          </rPr>
          <t xml:space="preserve">
Gender Activities/Action,
2.1.1 Involve women farmers (and the WFN) actively in the selection and multiplication of climate resilient crops
varieties and build on their local knowledge in this area.</t>
        </r>
      </text>
    </comment>
    <comment ref="E106" authorId="1" shapeId="0" xr:uid="{00000000-0006-0000-0300-00000E000000}">
      <text>
        <r>
          <rPr>
            <b/>
            <sz val="9"/>
            <color indexed="81"/>
            <rFont val="Tahoma"/>
            <family val="2"/>
          </rPr>
          <t>XMG:</t>
        </r>
        <r>
          <rPr>
            <sz val="9"/>
            <color indexed="81"/>
            <rFont val="Tahoma"/>
            <family val="2"/>
          </rPr>
          <t xml:space="preserve">
Gender Activities/Action,
2.1.2 Involve women farmers and WFN representatives actively and meaningfully in each individual event for all capacity-building activities (trainings, demonstrations, study tours) supported by the project:
(1) agricultural extension and technical capacity-building activities including those related to climate change adaptation and mitigation;
</t>
        </r>
      </text>
    </comment>
    <comment ref="E113" authorId="1" shapeId="0" xr:uid="{00000000-0006-0000-0300-00000F000000}">
      <text>
        <r>
          <rPr>
            <b/>
            <sz val="9"/>
            <color indexed="81"/>
            <rFont val="Tahoma"/>
            <family val="2"/>
          </rPr>
          <t>XMG:</t>
        </r>
        <r>
          <rPr>
            <sz val="9"/>
            <color indexed="81"/>
            <rFont val="Tahoma"/>
            <family val="2"/>
          </rPr>
          <t xml:space="preserve">
Gender Activities/Action,
2.1.2 Involve women farmers and WFN representatives actively and meaningfully in each individual event for all capacity-building activities (trainings, demonstrations, study tours) supported by the project:
(2) trainings on how to operate and maintain a range of agricultural machinery;
(3), management (including leadership, negotiation) and business skills trainings.
- This would mean paying special attention to the following aspects: adequate venue, timing, duration, way that invitation is being done (not to head of household as is currently being done), use of visual aids and other
illustrated materials, use of female facilitators/demonstrators and extension agents, child care arrangements even if informal, etc.</t>
        </r>
      </text>
    </comment>
    <comment ref="E117" authorId="1" shapeId="0" xr:uid="{00000000-0006-0000-0300-000010000000}">
      <text>
        <r>
          <rPr>
            <b/>
            <sz val="9"/>
            <color indexed="81"/>
            <rFont val="Tahoma"/>
            <family val="2"/>
          </rPr>
          <t>XMG:</t>
        </r>
        <r>
          <rPr>
            <sz val="9"/>
            <color indexed="81"/>
            <rFont val="Tahoma"/>
            <family val="2"/>
          </rPr>
          <t xml:space="preserve">
Gender Activities/Actions,
2.1.3 Strengthen linkages between women-led and/or owned farms/enterprises* and agribusiness industry
For support provided to cooperatives: preferential support will be given to agricultural cooperatives with a majority of female members.
.1.4 Work with the WFN to identify context-appropriate ways to address burden of household and care work for women farmers, especially female headed households, which prevents them to increasingly participate and move up along the value chains.
</t>
        </r>
      </text>
    </comment>
    <comment ref="E126" authorId="1" shapeId="0" xr:uid="{00000000-0006-0000-0300-000011000000}">
      <text>
        <r>
          <rPr>
            <b/>
            <sz val="9"/>
            <color indexed="81"/>
            <rFont val="Tahoma"/>
            <family val="2"/>
          </rPr>
          <t>XMG:</t>
        </r>
        <r>
          <rPr>
            <sz val="9"/>
            <color indexed="81"/>
            <rFont val="Tahoma"/>
            <family val="2"/>
          </rPr>
          <t xml:space="preserve">
Gender Activities/Actions,
3.1.1 At project inception, refine the gender analysis for each of the 4 targeted value chains and develop a set of clear policy and program recommendations to strengthen women farmers’ involvement along the different value chains. Ensure that capacity is built within MAFF/ Gender &amp; Children Project Support Unit (GCPSU) for gender responsive value chain analysis and develop methodology/guidelines that can be used in future analysis.
</t>
        </r>
      </text>
    </comment>
    <comment ref="E127" authorId="1" shapeId="0" xr:uid="{00000000-0006-0000-0300-000012000000}">
      <text>
        <r>
          <rPr>
            <b/>
            <sz val="9"/>
            <color indexed="81"/>
            <rFont val="Tahoma"/>
            <family val="2"/>
          </rPr>
          <t>XMG:</t>
        </r>
        <r>
          <rPr>
            <sz val="9"/>
            <color indexed="81"/>
            <rFont val="Tahoma"/>
            <family val="2"/>
          </rPr>
          <t xml:space="preserve">
Gender Activities/Actions,
3.1.2 Integrate key recommendations from the above- mentioned gender analysis of value chains and key features of the MAFF Gender Policy into the Agribusiness policy and other related documents prepared under the project.
- This would also mean that gender stakeholders (MAFF GCPSU representatives, gender focal points, and WFN) participate in policy committees and meetings.
</t>
        </r>
      </text>
    </comment>
    <comment ref="E128" authorId="1" shapeId="0" xr:uid="{00000000-0006-0000-0300-000013000000}">
      <text>
        <r>
          <rPr>
            <b/>
            <sz val="9"/>
            <color indexed="81"/>
            <rFont val="Tahoma"/>
            <family val="2"/>
          </rPr>
          <t>XMG:</t>
        </r>
        <r>
          <rPr>
            <sz val="9"/>
            <color indexed="81"/>
            <rFont val="Tahoma"/>
            <family val="2"/>
          </rPr>
          <t xml:space="preserve">
Gender Activities/Actions,
3.1.3 Integrate a session on gender equality in climate- friendly agribusiness value chains (based on gender analysis report mentioned above) into the training and awareness raising activities for relevant project stakeholders (i.e. relevant departments in MAFF, agricultural extension agents, local leaders and government officials, GCPSU and Gender Focal Points, and WFN).</t>
        </r>
      </text>
    </comment>
    <comment ref="E131" authorId="1" shapeId="0" xr:uid="{00000000-0006-0000-0300-000014000000}">
      <text>
        <r>
          <rPr>
            <b/>
            <sz val="9"/>
            <color indexed="81"/>
            <rFont val="Tahoma"/>
            <family val="2"/>
          </rPr>
          <t>XMG:</t>
        </r>
        <r>
          <rPr>
            <sz val="9"/>
            <color indexed="81"/>
            <rFont val="Tahoma"/>
            <family val="2"/>
          </rPr>
          <t xml:space="preserve">
Gender Activities/Actions,
3.1.4 Actively involve the MAFF GCPSU, the sub-national Gender Focal Points (Province, District, Commune), and the WFN and the Agricultural Cooperatives as key partners in project implementation and monitoring, especially for the GAP activities.
- This also entails partnering with the WFN as facilitators/resource persons for agricultural extension and technical capacity-building, awareness-raising and information sharing targeted at farmers including provision of market information.
- WFN social media pages should be used as one of the ways to disseminate information to women farmers.
</t>
        </r>
      </text>
    </comment>
    <comment ref="E133" authorId="1" shapeId="0" xr:uid="{00000000-0006-0000-0300-000015000000}">
      <text>
        <r>
          <rPr>
            <b/>
            <sz val="9"/>
            <color indexed="81"/>
            <rFont val="Tahoma"/>
            <family val="2"/>
          </rPr>
          <t>XMG:</t>
        </r>
        <r>
          <rPr>
            <sz val="9"/>
            <color indexed="81"/>
            <rFont val="Tahoma"/>
            <family val="2"/>
          </rPr>
          <t xml:space="preserve">
Gender Activities/Actions,
3.2.1 Raise awareness among women farmers/ cooperative members, women-led and/or owned enterprises, and female staff in financial institutions using adequate channels about existing credit facilities, green financing including crop insurance and required formalities to access these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7" authorId="0" shapeId="0" xr:uid="{00000000-0006-0000-0500-000001000000}">
      <text>
        <r>
          <rPr>
            <b/>
            <sz val="9"/>
            <color indexed="81"/>
            <rFont val="Tahoma"/>
            <family val="2"/>
          </rPr>
          <t>User:</t>
        </r>
        <r>
          <rPr>
            <sz val="9"/>
            <color indexed="81"/>
            <rFont val="Tahoma"/>
            <family val="2"/>
          </rPr>
          <t xml:space="preserve">
It is the cummulative Activity.</t>
        </r>
      </text>
    </comment>
    <comment ref="D13" authorId="0" shapeId="0" xr:uid="{00000000-0006-0000-0500-000002000000}">
      <text>
        <r>
          <rPr>
            <b/>
            <sz val="9"/>
            <color indexed="81"/>
            <rFont val="Tahoma"/>
            <family val="2"/>
          </rPr>
          <t>User:</t>
        </r>
        <r>
          <rPr>
            <sz val="9"/>
            <color indexed="81"/>
            <rFont val="Tahoma"/>
            <family val="2"/>
          </rPr>
          <t xml:space="preserve">
It is the cummulative Activity.</t>
        </r>
      </text>
    </comment>
    <comment ref="D14" authorId="0" shapeId="0" xr:uid="{00000000-0006-0000-0500-000003000000}">
      <text>
        <r>
          <rPr>
            <b/>
            <sz val="9"/>
            <color indexed="81"/>
            <rFont val="Tahoma"/>
            <family val="2"/>
          </rPr>
          <t>User:</t>
        </r>
        <r>
          <rPr>
            <sz val="9"/>
            <color indexed="81"/>
            <rFont val="Tahoma"/>
            <family val="2"/>
          </rPr>
          <t xml:space="preserve">
It is the cummulative Activity.</t>
        </r>
      </text>
    </comment>
    <comment ref="D15" authorId="0" shapeId="0" xr:uid="{00000000-0006-0000-0500-000004000000}">
      <text>
        <r>
          <rPr>
            <b/>
            <sz val="9"/>
            <color indexed="81"/>
            <rFont val="Tahoma"/>
            <family val="2"/>
          </rPr>
          <t>User:</t>
        </r>
        <r>
          <rPr>
            <sz val="9"/>
            <color indexed="81"/>
            <rFont val="Tahoma"/>
            <family val="2"/>
          </rPr>
          <t xml:space="preserve">
It is the cummulative Activity.</t>
        </r>
      </text>
    </comment>
    <comment ref="D16" authorId="0" shapeId="0" xr:uid="{00000000-0006-0000-0500-000005000000}">
      <text>
        <r>
          <rPr>
            <b/>
            <sz val="9"/>
            <color indexed="81"/>
            <rFont val="Tahoma"/>
            <family val="2"/>
          </rPr>
          <t>User:</t>
        </r>
        <r>
          <rPr>
            <sz val="9"/>
            <color indexed="81"/>
            <rFont val="Tahoma"/>
            <family val="2"/>
          </rPr>
          <t xml:space="preserve">
It is the cummulative Activity.</t>
        </r>
      </text>
    </comment>
    <comment ref="D17" authorId="0" shapeId="0" xr:uid="{00000000-0006-0000-0500-000006000000}">
      <text>
        <r>
          <rPr>
            <b/>
            <sz val="9"/>
            <color indexed="81"/>
            <rFont val="Tahoma"/>
            <family val="2"/>
          </rPr>
          <t>User:</t>
        </r>
        <r>
          <rPr>
            <sz val="9"/>
            <color indexed="81"/>
            <rFont val="Tahoma"/>
            <family val="2"/>
          </rPr>
          <t xml:space="preserve">
It is the cummulative Activity.</t>
        </r>
      </text>
    </comment>
    <comment ref="D18" authorId="0" shapeId="0" xr:uid="{00000000-0006-0000-0500-000007000000}">
      <text>
        <r>
          <rPr>
            <b/>
            <sz val="9"/>
            <color indexed="81"/>
            <rFont val="Tahoma"/>
            <family val="2"/>
          </rPr>
          <t>User:</t>
        </r>
        <r>
          <rPr>
            <sz val="9"/>
            <color indexed="81"/>
            <rFont val="Tahoma"/>
            <family val="2"/>
          </rPr>
          <t xml:space="preserve">
It is the cummulative Activity.</t>
        </r>
      </text>
    </comment>
    <comment ref="D19" authorId="0" shapeId="0" xr:uid="{00000000-0006-0000-0500-000008000000}">
      <text>
        <r>
          <rPr>
            <b/>
            <sz val="9"/>
            <color indexed="81"/>
            <rFont val="Tahoma"/>
            <family val="2"/>
          </rPr>
          <t>User:</t>
        </r>
        <r>
          <rPr>
            <sz val="9"/>
            <color indexed="81"/>
            <rFont val="Tahoma"/>
            <family val="2"/>
          </rPr>
          <t xml:space="preserve">
It is the cummulative Activity.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user</author>
  </authors>
  <commentList>
    <comment ref="N6" authorId="0" shapeId="0" xr:uid="{00000000-0006-0000-0800-000001000000}">
      <text>
        <r>
          <rPr>
            <b/>
            <sz val="9"/>
            <color indexed="81"/>
            <rFont val="Tahoma"/>
            <family val="2"/>
          </rPr>
          <t>User:</t>
        </r>
        <r>
          <rPr>
            <sz val="9"/>
            <color indexed="81"/>
            <rFont val="Tahoma"/>
            <family val="2"/>
          </rPr>
          <t xml:space="preserve">
Light Yellow fill color are edited during the meeting with PMU (Mr. Heng Bunny), CS2/DTL, CS1/DTL (PSH), and N&amp;I M&amp;E, on 10 August 2021, @PMU. Office.</t>
        </r>
      </text>
    </comment>
    <comment ref="CL9" authorId="0" shapeId="0" xr:uid="{00000000-0006-0000-0800-000002000000}">
      <text>
        <r>
          <rPr>
            <b/>
            <sz val="9"/>
            <color indexed="81"/>
            <rFont val="Tahoma"/>
            <family val="2"/>
          </rPr>
          <t>User:</t>
        </r>
        <r>
          <rPr>
            <sz val="9"/>
            <color indexed="81"/>
            <rFont val="Tahoma"/>
            <family val="2"/>
          </rPr>
          <t xml:space="preserve">
During this period, there is no CS5 member is mobilized into MOWRAM</t>
        </r>
      </text>
    </comment>
    <comment ref="X13" authorId="1" shapeId="0" xr:uid="{00000000-0006-0000-0800-000003000000}">
      <text>
        <r>
          <rPr>
            <b/>
            <sz val="9"/>
            <color indexed="81"/>
            <rFont val="Tahoma"/>
            <family val="2"/>
          </rPr>
          <t>user:</t>
        </r>
        <r>
          <rPr>
            <sz val="9"/>
            <color indexed="81"/>
            <rFont val="Tahoma"/>
            <family val="2"/>
          </rPr>
          <t xml:space="preserve">
To be filled by CS1</t>
        </r>
      </text>
    </comment>
    <comment ref="X14" authorId="1" shapeId="0" xr:uid="{00000000-0006-0000-0800-000004000000}">
      <text>
        <r>
          <rPr>
            <b/>
            <sz val="9"/>
            <color indexed="81"/>
            <rFont val="Tahoma"/>
            <family val="2"/>
          </rPr>
          <t>user:</t>
        </r>
        <r>
          <rPr>
            <sz val="9"/>
            <color indexed="81"/>
            <rFont val="Tahoma"/>
            <family val="2"/>
          </rPr>
          <t xml:space="preserve">
To be filled by CS1</t>
        </r>
      </text>
    </comment>
    <comment ref="X27" authorId="1" shapeId="0" xr:uid="{00000000-0006-0000-0800-000005000000}">
      <text>
        <r>
          <rPr>
            <b/>
            <sz val="9"/>
            <color indexed="81"/>
            <rFont val="Tahoma"/>
            <family val="2"/>
          </rPr>
          <t>user:</t>
        </r>
        <r>
          <rPr>
            <sz val="9"/>
            <color indexed="81"/>
            <rFont val="Tahoma"/>
            <family val="2"/>
          </rPr>
          <t xml:space="preserve">
To be filled by CS1</t>
        </r>
      </text>
    </comment>
    <comment ref="X28" authorId="1" shapeId="0" xr:uid="{00000000-0006-0000-0800-000006000000}">
      <text>
        <r>
          <rPr>
            <b/>
            <sz val="9"/>
            <color indexed="81"/>
            <rFont val="Tahoma"/>
            <family val="2"/>
          </rPr>
          <t>user:</t>
        </r>
        <r>
          <rPr>
            <sz val="9"/>
            <color indexed="81"/>
            <rFont val="Tahoma"/>
            <family val="2"/>
          </rPr>
          <t xml:space="preserve">
To be filled by CS1</t>
        </r>
      </text>
    </comment>
    <comment ref="F32" authorId="0" shapeId="0" xr:uid="{00000000-0006-0000-0800-000007000000}">
      <text>
        <r>
          <rPr>
            <b/>
            <sz val="9"/>
            <color indexed="81"/>
            <rFont val="Tahoma"/>
            <family val="2"/>
          </rPr>
          <t>User:</t>
        </r>
        <r>
          <rPr>
            <sz val="9"/>
            <color indexed="81"/>
            <rFont val="Tahoma"/>
            <family val="2"/>
          </rPr>
          <t xml:space="preserve">
Previous 80</t>
        </r>
      </text>
    </comment>
    <comment ref="I32" authorId="0" shapeId="0" xr:uid="{00000000-0006-0000-0800-000008000000}">
      <text>
        <r>
          <rPr>
            <b/>
            <sz val="9"/>
            <color indexed="81"/>
            <rFont val="Tahoma"/>
            <family val="2"/>
          </rPr>
          <t>User:</t>
        </r>
        <r>
          <rPr>
            <sz val="9"/>
            <color indexed="81"/>
            <rFont val="Tahoma"/>
            <family val="2"/>
          </rPr>
          <t xml:space="preserve">
Previous 20</t>
        </r>
      </text>
    </comment>
    <comment ref="M32" authorId="0" shapeId="0" xr:uid="{00000000-0006-0000-0800-000009000000}">
      <text>
        <r>
          <rPr>
            <b/>
            <sz val="9"/>
            <color indexed="81"/>
            <rFont val="Tahoma"/>
            <family val="2"/>
          </rPr>
          <t>User:</t>
        </r>
        <r>
          <rPr>
            <sz val="9"/>
            <color indexed="81"/>
            <rFont val="Tahoma"/>
            <family val="2"/>
          </rPr>
          <t xml:space="preserve">
Previous 35</t>
        </r>
      </text>
    </comment>
    <comment ref="N32" authorId="0" shapeId="0" xr:uid="{00000000-0006-0000-0800-00000A000000}">
      <text>
        <r>
          <rPr>
            <b/>
            <sz val="9"/>
            <color indexed="81"/>
            <rFont val="Tahoma"/>
            <family val="2"/>
          </rPr>
          <t>User:</t>
        </r>
        <r>
          <rPr>
            <sz val="9"/>
            <color indexed="81"/>
            <rFont val="Tahoma"/>
            <family val="2"/>
          </rPr>
          <t xml:space="preserve">
Previous 20</t>
        </r>
      </text>
    </comment>
    <comment ref="F33" authorId="0" shapeId="0" xr:uid="{00000000-0006-0000-0800-00000B000000}">
      <text>
        <r>
          <rPr>
            <b/>
            <sz val="9"/>
            <color indexed="81"/>
            <rFont val="Tahoma"/>
            <family val="2"/>
          </rPr>
          <t>User:</t>
        </r>
        <r>
          <rPr>
            <sz val="9"/>
            <color indexed="81"/>
            <rFont val="Tahoma"/>
            <family val="2"/>
          </rPr>
          <t xml:space="preserve">
Previous 80</t>
        </r>
      </text>
    </comment>
    <comment ref="I33" authorId="0" shapeId="0" xr:uid="{00000000-0006-0000-0800-00000C000000}">
      <text>
        <r>
          <rPr>
            <b/>
            <sz val="9"/>
            <color indexed="81"/>
            <rFont val="Tahoma"/>
            <family val="2"/>
          </rPr>
          <t>User:</t>
        </r>
        <r>
          <rPr>
            <sz val="9"/>
            <color indexed="81"/>
            <rFont val="Tahoma"/>
            <family val="2"/>
          </rPr>
          <t xml:space="preserve">
Previous 20</t>
        </r>
      </text>
    </comment>
    <comment ref="M33" authorId="0" shapeId="0" xr:uid="{00000000-0006-0000-0800-00000D000000}">
      <text>
        <r>
          <rPr>
            <b/>
            <sz val="9"/>
            <color indexed="81"/>
            <rFont val="Tahoma"/>
            <family val="2"/>
          </rPr>
          <t>User:</t>
        </r>
        <r>
          <rPr>
            <sz val="9"/>
            <color indexed="81"/>
            <rFont val="Tahoma"/>
            <family val="2"/>
          </rPr>
          <t xml:space="preserve">
Previous 35</t>
        </r>
      </text>
    </comment>
    <comment ref="N33" authorId="0" shapeId="0" xr:uid="{00000000-0006-0000-0800-00000E000000}">
      <text>
        <r>
          <rPr>
            <b/>
            <sz val="9"/>
            <color indexed="81"/>
            <rFont val="Tahoma"/>
            <family val="2"/>
          </rPr>
          <t>User:</t>
        </r>
        <r>
          <rPr>
            <sz val="9"/>
            <color indexed="81"/>
            <rFont val="Tahoma"/>
            <family val="2"/>
          </rPr>
          <t xml:space="preserve">
Previous 20.2</t>
        </r>
      </text>
    </comment>
    <comment ref="M35" authorId="0" shapeId="0" xr:uid="{00000000-0006-0000-0800-00000F000000}">
      <text>
        <r>
          <rPr>
            <b/>
            <sz val="9"/>
            <color indexed="81"/>
            <rFont val="Tahoma"/>
            <family val="2"/>
          </rPr>
          <t>User:</t>
        </r>
        <r>
          <rPr>
            <sz val="9"/>
            <color indexed="81"/>
            <rFont val="Tahoma"/>
            <family val="2"/>
          </rPr>
          <t xml:space="preserve">
Previous 0</t>
        </r>
      </text>
    </comment>
    <comment ref="F44" authorId="0" shapeId="0" xr:uid="{00000000-0006-0000-0800-000010000000}">
      <text>
        <r>
          <rPr>
            <b/>
            <sz val="9"/>
            <color indexed="81"/>
            <rFont val="Tahoma"/>
            <family val="2"/>
          </rPr>
          <t>User:</t>
        </r>
        <r>
          <rPr>
            <sz val="9"/>
            <color indexed="81"/>
            <rFont val="Tahoma"/>
            <family val="2"/>
          </rPr>
          <t xml:space="preserve">
Previous 3</t>
        </r>
      </text>
    </comment>
    <comment ref="F45" authorId="0" shapeId="0" xr:uid="{00000000-0006-0000-0800-000011000000}">
      <text>
        <r>
          <rPr>
            <b/>
            <sz val="9"/>
            <color indexed="81"/>
            <rFont val="Tahoma"/>
            <family val="2"/>
          </rPr>
          <t>User:</t>
        </r>
        <r>
          <rPr>
            <sz val="9"/>
            <color indexed="81"/>
            <rFont val="Tahoma"/>
            <family val="2"/>
          </rPr>
          <t xml:space="preserve">
Previous 3</t>
        </r>
      </text>
    </comment>
    <comment ref="F49" authorId="0" shapeId="0" xr:uid="{00000000-0006-0000-0800-000012000000}">
      <text>
        <r>
          <rPr>
            <b/>
            <sz val="9"/>
            <color indexed="81"/>
            <rFont val="Tahoma"/>
            <family val="2"/>
          </rPr>
          <t>User:</t>
        </r>
        <r>
          <rPr>
            <sz val="9"/>
            <color indexed="81"/>
            <rFont val="Tahoma"/>
            <family val="2"/>
          </rPr>
          <t xml:space="preserve">
Previous 3</t>
        </r>
      </text>
    </comment>
    <comment ref="F50" authorId="0" shapeId="0" xr:uid="{00000000-0006-0000-0800-000013000000}">
      <text>
        <r>
          <rPr>
            <b/>
            <sz val="9"/>
            <color indexed="81"/>
            <rFont val="Tahoma"/>
            <family val="2"/>
          </rPr>
          <t>User:</t>
        </r>
        <r>
          <rPr>
            <sz val="9"/>
            <color indexed="81"/>
            <rFont val="Tahoma"/>
            <family val="2"/>
          </rPr>
          <t xml:space="preserve">
Previous 3</t>
        </r>
      </text>
    </comment>
    <comment ref="F53" authorId="0" shapeId="0" xr:uid="{00000000-0006-0000-0800-000014000000}">
      <text>
        <r>
          <rPr>
            <b/>
            <sz val="9"/>
            <color indexed="81"/>
            <rFont val="Tahoma"/>
            <family val="2"/>
          </rPr>
          <t>User:</t>
        </r>
        <r>
          <rPr>
            <sz val="9"/>
            <color indexed="81"/>
            <rFont val="Tahoma"/>
            <family val="2"/>
          </rPr>
          <t xml:space="preserve">
Previous 5,300</t>
        </r>
      </text>
    </comment>
    <comment ref="I53" authorId="0" shapeId="0" xr:uid="{00000000-0006-0000-0800-000015000000}">
      <text>
        <r>
          <rPr>
            <b/>
            <sz val="9"/>
            <color indexed="81"/>
            <rFont val="Tahoma"/>
            <family val="2"/>
          </rPr>
          <t>User:</t>
        </r>
        <r>
          <rPr>
            <sz val="9"/>
            <color indexed="81"/>
            <rFont val="Tahoma"/>
            <family val="2"/>
          </rPr>
          <t xml:space="preserve">
Previous 1,325</t>
        </r>
      </text>
    </comment>
    <comment ref="M53" authorId="0" shapeId="0" xr:uid="{00000000-0006-0000-0800-000016000000}">
      <text>
        <r>
          <rPr>
            <b/>
            <sz val="9"/>
            <color indexed="81"/>
            <rFont val="Tahoma"/>
            <family val="2"/>
          </rPr>
          <t>User:</t>
        </r>
        <r>
          <rPr>
            <sz val="9"/>
            <color indexed="81"/>
            <rFont val="Tahoma"/>
            <family val="2"/>
          </rPr>
          <t xml:space="preserve">
Previous 1,325</t>
        </r>
      </text>
    </comment>
    <comment ref="F54" authorId="0" shapeId="0" xr:uid="{00000000-0006-0000-0800-000017000000}">
      <text>
        <r>
          <rPr>
            <b/>
            <sz val="9"/>
            <color indexed="81"/>
            <rFont val="Tahoma"/>
            <family val="2"/>
          </rPr>
          <t>User:</t>
        </r>
        <r>
          <rPr>
            <sz val="9"/>
            <color indexed="81"/>
            <rFont val="Tahoma"/>
            <family val="2"/>
          </rPr>
          <t xml:space="preserve">
Previous 24,000</t>
        </r>
      </text>
    </comment>
    <comment ref="I54" authorId="0" shapeId="0" xr:uid="{00000000-0006-0000-0800-000018000000}">
      <text>
        <r>
          <rPr>
            <b/>
            <sz val="9"/>
            <color indexed="81"/>
            <rFont val="Tahoma"/>
            <family val="2"/>
          </rPr>
          <t>User:</t>
        </r>
        <r>
          <rPr>
            <sz val="9"/>
            <color indexed="81"/>
            <rFont val="Tahoma"/>
            <family val="2"/>
          </rPr>
          <t xml:space="preserve">
Previous 6,000</t>
        </r>
      </text>
    </comment>
    <comment ref="J54" authorId="0" shapeId="0" xr:uid="{00000000-0006-0000-0800-000019000000}">
      <text>
        <r>
          <rPr>
            <b/>
            <sz val="9"/>
            <color indexed="81"/>
            <rFont val="Tahoma"/>
            <family val="2"/>
          </rPr>
          <t>User:</t>
        </r>
        <r>
          <rPr>
            <sz val="9"/>
            <color indexed="81"/>
            <rFont val="Tahoma"/>
            <family val="2"/>
          </rPr>
          <t xml:space="preserve">
Previous 5,847</t>
        </r>
      </text>
    </comment>
    <comment ref="M54" authorId="0" shapeId="0" xr:uid="{00000000-0006-0000-0800-00001A000000}">
      <text>
        <r>
          <rPr>
            <b/>
            <sz val="9"/>
            <color indexed="81"/>
            <rFont val="Tahoma"/>
            <family val="2"/>
          </rPr>
          <t>User:</t>
        </r>
        <r>
          <rPr>
            <sz val="9"/>
            <color indexed="81"/>
            <rFont val="Tahoma"/>
            <family val="2"/>
          </rPr>
          <t xml:space="preserve">
Previous 6,000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Administrator</author>
  </authors>
  <commentList>
    <comment ref="E17" authorId="0" shapeId="0" xr:uid="{00000000-0006-0000-0900-000001000000}">
      <text>
        <r>
          <rPr>
            <b/>
            <sz val="9"/>
            <color indexed="81"/>
            <rFont val="Tahoma"/>
            <family val="2"/>
          </rPr>
          <t>User:</t>
        </r>
        <r>
          <rPr>
            <sz val="9"/>
            <color indexed="81"/>
            <rFont val="Tahoma"/>
            <family val="2"/>
          </rPr>
          <t xml:space="preserve">
Previous is event</t>
        </r>
      </text>
    </comment>
    <comment ref="F17" authorId="0" shapeId="0" xr:uid="{00000000-0006-0000-0900-000002000000}">
      <text>
        <r>
          <rPr>
            <b/>
            <sz val="9"/>
            <color indexed="81"/>
            <rFont val="Tahoma"/>
            <family val="2"/>
          </rPr>
          <t>User:</t>
        </r>
        <r>
          <rPr>
            <sz val="9"/>
            <color indexed="81"/>
            <rFont val="Tahoma"/>
            <family val="2"/>
          </rPr>
          <t xml:space="preserve">
Previous 6,000</t>
        </r>
      </text>
    </comment>
    <comment ref="F25" authorId="0" shapeId="0" xr:uid="{00000000-0006-0000-0900-000003000000}">
      <text>
        <r>
          <rPr>
            <b/>
            <sz val="9"/>
            <color indexed="81"/>
            <rFont val="Tahoma"/>
            <family val="2"/>
          </rPr>
          <t>User:</t>
        </r>
        <r>
          <rPr>
            <sz val="9"/>
            <color indexed="81"/>
            <rFont val="Tahoma"/>
            <family val="2"/>
          </rPr>
          <t xml:space="preserve">
Previous 10,000</t>
        </r>
      </text>
    </comment>
    <comment ref="J25" authorId="0" shapeId="0" xr:uid="{00000000-0006-0000-0900-000004000000}">
      <text>
        <r>
          <rPr>
            <b/>
            <sz val="9"/>
            <color indexed="81"/>
            <rFont val="Tahoma"/>
            <family val="2"/>
          </rPr>
          <t>User:</t>
        </r>
        <r>
          <rPr>
            <sz val="9"/>
            <color indexed="81"/>
            <rFont val="Tahoma"/>
            <family val="2"/>
          </rPr>
          <t xml:space="preserve">
Previous 1,500</t>
        </r>
      </text>
    </comment>
    <comment ref="N25" authorId="0" shapeId="0" xr:uid="{00000000-0006-0000-0900-000005000000}">
      <text>
        <r>
          <rPr>
            <b/>
            <sz val="9"/>
            <color indexed="81"/>
            <rFont val="Tahoma"/>
            <family val="2"/>
          </rPr>
          <t>User:</t>
        </r>
        <r>
          <rPr>
            <sz val="9"/>
            <color indexed="81"/>
            <rFont val="Tahoma"/>
            <family val="2"/>
          </rPr>
          <t xml:space="preserve">
Previous 3,000</t>
        </r>
      </text>
    </comment>
    <comment ref="F26" authorId="0" shapeId="0" xr:uid="{00000000-0006-0000-0900-000006000000}">
      <text>
        <r>
          <rPr>
            <b/>
            <sz val="9"/>
            <color indexed="81"/>
            <rFont val="Tahoma"/>
            <family val="2"/>
          </rPr>
          <t>User:</t>
        </r>
        <r>
          <rPr>
            <sz val="9"/>
            <color indexed="81"/>
            <rFont val="Tahoma"/>
            <family val="2"/>
          </rPr>
          <t xml:space="preserve">
Previous 10,000</t>
        </r>
      </text>
    </comment>
    <comment ref="J26" authorId="0" shapeId="0" xr:uid="{00000000-0006-0000-0900-000007000000}">
      <text>
        <r>
          <rPr>
            <b/>
            <sz val="9"/>
            <color indexed="81"/>
            <rFont val="Tahoma"/>
            <family val="2"/>
          </rPr>
          <t>User:</t>
        </r>
        <r>
          <rPr>
            <sz val="9"/>
            <color indexed="81"/>
            <rFont val="Tahoma"/>
            <family val="2"/>
          </rPr>
          <t xml:space="preserve">
Previous 2,500</t>
        </r>
      </text>
    </comment>
    <comment ref="N26" authorId="0" shapeId="0" xr:uid="{00000000-0006-0000-0900-000008000000}">
      <text>
        <r>
          <rPr>
            <b/>
            <sz val="9"/>
            <color indexed="81"/>
            <rFont val="Tahoma"/>
            <family val="2"/>
          </rPr>
          <t>User:</t>
        </r>
        <r>
          <rPr>
            <sz val="9"/>
            <color indexed="81"/>
            <rFont val="Tahoma"/>
            <family val="2"/>
          </rPr>
          <t xml:space="preserve">
Previous 3,000</t>
        </r>
      </text>
    </comment>
    <comment ref="F27" authorId="0" shapeId="0" xr:uid="{00000000-0006-0000-0900-000009000000}">
      <text>
        <r>
          <rPr>
            <b/>
            <sz val="9"/>
            <color indexed="81"/>
            <rFont val="Tahoma"/>
            <family val="2"/>
          </rPr>
          <t>User:</t>
        </r>
        <r>
          <rPr>
            <sz val="9"/>
            <color indexed="81"/>
            <rFont val="Tahoma"/>
            <family val="2"/>
          </rPr>
          <t xml:space="preserve">
Previous 10,000</t>
        </r>
      </text>
    </comment>
    <comment ref="J27" authorId="0" shapeId="0" xr:uid="{00000000-0006-0000-0900-00000A000000}">
      <text>
        <r>
          <rPr>
            <b/>
            <sz val="9"/>
            <color indexed="81"/>
            <rFont val="Tahoma"/>
            <family val="2"/>
          </rPr>
          <t>User:</t>
        </r>
        <r>
          <rPr>
            <sz val="9"/>
            <color indexed="81"/>
            <rFont val="Tahoma"/>
            <family val="2"/>
          </rPr>
          <t xml:space="preserve">
Previous 2,000</t>
        </r>
      </text>
    </comment>
    <comment ref="N27" authorId="0" shapeId="0" xr:uid="{00000000-0006-0000-0900-00000B000000}">
      <text>
        <r>
          <rPr>
            <b/>
            <sz val="9"/>
            <color indexed="81"/>
            <rFont val="Tahoma"/>
            <family val="2"/>
          </rPr>
          <t>User:</t>
        </r>
        <r>
          <rPr>
            <sz val="9"/>
            <color indexed="81"/>
            <rFont val="Tahoma"/>
            <family val="2"/>
          </rPr>
          <t xml:space="preserve">
Previous 3,000</t>
        </r>
      </text>
    </comment>
    <comment ref="F28" authorId="0" shapeId="0" xr:uid="{00000000-0006-0000-0900-00000C000000}">
      <text>
        <r>
          <rPr>
            <b/>
            <sz val="9"/>
            <color indexed="81"/>
            <rFont val="Tahoma"/>
            <family val="2"/>
          </rPr>
          <t>User:</t>
        </r>
        <r>
          <rPr>
            <sz val="9"/>
            <color indexed="81"/>
            <rFont val="Tahoma"/>
            <family val="2"/>
          </rPr>
          <t xml:space="preserve">
Previous 10,000</t>
        </r>
      </text>
    </comment>
    <comment ref="J28" authorId="0" shapeId="0" xr:uid="{00000000-0006-0000-0900-00000D000000}">
      <text>
        <r>
          <rPr>
            <b/>
            <sz val="9"/>
            <color indexed="81"/>
            <rFont val="Tahoma"/>
            <family val="2"/>
          </rPr>
          <t>User:</t>
        </r>
        <r>
          <rPr>
            <sz val="9"/>
            <color indexed="81"/>
            <rFont val="Tahoma"/>
            <family val="2"/>
          </rPr>
          <t xml:space="preserve">
Previous 250</t>
        </r>
      </text>
    </comment>
    <comment ref="N28" authorId="0" shapeId="0" xr:uid="{00000000-0006-0000-0900-00000E000000}">
      <text>
        <r>
          <rPr>
            <b/>
            <sz val="9"/>
            <color indexed="81"/>
            <rFont val="Tahoma"/>
            <family val="2"/>
          </rPr>
          <t>User:</t>
        </r>
        <r>
          <rPr>
            <sz val="9"/>
            <color indexed="81"/>
            <rFont val="Tahoma"/>
            <family val="2"/>
          </rPr>
          <t xml:space="preserve">
Previous 3,000</t>
        </r>
      </text>
    </comment>
    <comment ref="F29" authorId="0" shapeId="0" xr:uid="{00000000-0006-0000-0900-00000F000000}">
      <text>
        <r>
          <rPr>
            <b/>
            <sz val="9"/>
            <color indexed="81"/>
            <rFont val="Tahoma"/>
            <family val="2"/>
          </rPr>
          <t>User:</t>
        </r>
        <r>
          <rPr>
            <sz val="9"/>
            <color indexed="81"/>
            <rFont val="Tahoma"/>
            <family val="2"/>
          </rPr>
          <t xml:space="preserve">
Previous 10,000</t>
        </r>
      </text>
    </comment>
    <comment ref="J29" authorId="0" shapeId="0" xr:uid="{00000000-0006-0000-0900-000010000000}">
      <text>
        <r>
          <rPr>
            <b/>
            <sz val="9"/>
            <color indexed="81"/>
            <rFont val="Tahoma"/>
            <family val="2"/>
          </rPr>
          <t>User:</t>
        </r>
        <r>
          <rPr>
            <sz val="9"/>
            <color indexed="81"/>
            <rFont val="Tahoma"/>
            <family val="2"/>
          </rPr>
          <t xml:space="preserve">
Previous 250</t>
        </r>
      </text>
    </comment>
    <comment ref="N29" authorId="0" shapeId="0" xr:uid="{00000000-0006-0000-0900-000011000000}">
      <text>
        <r>
          <rPr>
            <b/>
            <sz val="9"/>
            <color indexed="81"/>
            <rFont val="Tahoma"/>
            <family val="2"/>
          </rPr>
          <t>User:</t>
        </r>
        <r>
          <rPr>
            <sz val="9"/>
            <color indexed="81"/>
            <rFont val="Tahoma"/>
            <family val="2"/>
          </rPr>
          <t xml:space="preserve">
Previous 3,000</t>
        </r>
      </text>
    </comment>
    <comment ref="F33" authorId="1" shapeId="0" xr:uid="{00000000-0006-0000-0900-000012000000}">
      <text>
        <r>
          <rPr>
            <b/>
            <sz val="9"/>
            <color indexed="81"/>
            <rFont val="Tahoma"/>
            <family val="2"/>
          </rPr>
          <t>Administrator:</t>
        </r>
        <r>
          <rPr>
            <sz val="9"/>
            <color indexed="81"/>
            <rFont val="Tahoma"/>
            <family val="2"/>
          </rPr>
          <t xml:space="preserve">
Actual is 146 villages (estimated).
Actually, we have done 17 FWUCs is (323 members)= 93 villages and finished the budget. How to do more further (we are shortage of 9 FWUCs budget)?</t>
        </r>
      </text>
    </comment>
    <comment ref="E44" authorId="0" shapeId="0" xr:uid="{00000000-0006-0000-0900-000013000000}">
      <text>
        <r>
          <rPr>
            <b/>
            <sz val="9"/>
            <color indexed="81"/>
            <rFont val="Tahoma"/>
            <family val="2"/>
          </rPr>
          <t>User:</t>
        </r>
        <r>
          <rPr>
            <sz val="9"/>
            <color indexed="81"/>
            <rFont val="Tahoma"/>
            <family val="2"/>
          </rPr>
          <t xml:space="preserve">
Previous No.</t>
        </r>
      </text>
    </comment>
    <comment ref="F47" authorId="0" shapeId="0" xr:uid="{00000000-0006-0000-0900-000014000000}">
      <text>
        <r>
          <rPr>
            <b/>
            <sz val="9"/>
            <color indexed="81"/>
            <rFont val="Tahoma"/>
            <family val="2"/>
          </rPr>
          <t>User:</t>
        </r>
        <r>
          <rPr>
            <sz val="9"/>
            <color indexed="81"/>
            <rFont val="Tahoma"/>
            <family val="2"/>
          </rPr>
          <t xml:space="preserve">
Previous 3</t>
        </r>
      </text>
    </comment>
    <comment ref="N47" authorId="0" shapeId="0" xr:uid="{00000000-0006-0000-0900-000015000000}">
      <text>
        <r>
          <rPr>
            <b/>
            <sz val="9"/>
            <color indexed="81"/>
            <rFont val="Tahoma"/>
            <family val="2"/>
          </rPr>
          <t>User:</t>
        </r>
        <r>
          <rPr>
            <sz val="9"/>
            <color indexed="81"/>
            <rFont val="Tahoma"/>
            <family val="2"/>
          </rPr>
          <t xml:space="preserve">
Previous 1</t>
        </r>
      </text>
    </comment>
    <comment ref="F48" authorId="0" shapeId="0" xr:uid="{00000000-0006-0000-0900-000016000000}">
      <text>
        <r>
          <rPr>
            <b/>
            <sz val="9"/>
            <color indexed="81"/>
            <rFont val="Tahoma"/>
            <family val="2"/>
          </rPr>
          <t>User:</t>
        </r>
        <r>
          <rPr>
            <sz val="9"/>
            <color indexed="81"/>
            <rFont val="Tahoma"/>
            <family val="2"/>
          </rPr>
          <t xml:space="preserve">
Previous 3</t>
        </r>
      </text>
    </comment>
    <comment ref="N48" authorId="0" shapeId="0" xr:uid="{00000000-0006-0000-0900-000017000000}">
      <text>
        <r>
          <rPr>
            <b/>
            <sz val="9"/>
            <color indexed="81"/>
            <rFont val="Tahoma"/>
            <family val="2"/>
          </rPr>
          <t>User:</t>
        </r>
        <r>
          <rPr>
            <sz val="9"/>
            <color indexed="81"/>
            <rFont val="Tahoma"/>
            <family val="2"/>
          </rPr>
          <t xml:space="preserve">
Previous 1</t>
        </r>
      </text>
    </comment>
    <comment ref="F53" authorId="0" shapeId="0" xr:uid="{00000000-0006-0000-0900-000018000000}">
      <text>
        <r>
          <rPr>
            <b/>
            <sz val="9"/>
            <color indexed="81"/>
            <rFont val="Tahoma"/>
            <family val="2"/>
          </rPr>
          <t>User:</t>
        </r>
        <r>
          <rPr>
            <sz val="9"/>
            <color indexed="81"/>
            <rFont val="Tahoma"/>
            <family val="2"/>
          </rPr>
          <t xml:space="preserve">
Previous 3</t>
        </r>
      </text>
    </comment>
    <comment ref="F54" authorId="0" shapeId="0" xr:uid="{00000000-0006-0000-0900-000019000000}">
      <text>
        <r>
          <rPr>
            <b/>
            <sz val="9"/>
            <color indexed="81"/>
            <rFont val="Tahoma"/>
            <family val="2"/>
          </rPr>
          <t>User:</t>
        </r>
        <r>
          <rPr>
            <sz val="9"/>
            <color indexed="81"/>
            <rFont val="Tahoma"/>
            <family val="2"/>
          </rPr>
          <t xml:space="preserve">
Previous 3</t>
        </r>
      </text>
    </comment>
    <comment ref="N55" authorId="0" shapeId="0" xr:uid="{00000000-0006-0000-0900-00001A000000}">
      <text>
        <r>
          <rPr>
            <b/>
            <sz val="9"/>
            <color indexed="81"/>
            <rFont val="Tahoma"/>
            <family val="2"/>
          </rPr>
          <t>User:</t>
        </r>
        <r>
          <rPr>
            <sz val="9"/>
            <color indexed="81"/>
            <rFont val="Tahoma"/>
            <family val="2"/>
          </rPr>
          <t xml:space="preserve">
Previous 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Lenovo</author>
    <author>User</author>
  </authors>
  <commentList>
    <comment ref="D5" authorId="0" shapeId="0" xr:uid="{00000000-0006-0000-0A00-000001000000}">
      <text>
        <r>
          <rPr>
            <b/>
            <sz val="9"/>
            <color indexed="81"/>
            <rFont val="Tahoma"/>
            <family val="2"/>
          </rPr>
          <t>Administrator:</t>
        </r>
        <r>
          <rPr>
            <sz val="9"/>
            <color indexed="81"/>
            <rFont val="Tahoma"/>
            <family val="2"/>
          </rPr>
          <t xml:space="preserve">
Based the dicussion with DTL/CS2 with National M&amp;E Expert on 29 June 2021, he said that TL/CS2 requested to modify some main Activities under Output 3 as in red font, while its black font will be deleted.</t>
        </r>
      </text>
    </comment>
    <comment ref="C9" authorId="1" shapeId="0" xr:uid="{00000000-0006-0000-0A00-000002000000}">
      <text>
        <r>
          <rPr>
            <b/>
            <sz val="9"/>
            <color indexed="81"/>
            <rFont val="Tahoma"/>
            <family val="2"/>
          </rPr>
          <t>Lenovo:</t>
        </r>
        <r>
          <rPr>
            <sz val="9"/>
            <color indexed="81"/>
            <rFont val="Tahoma"/>
            <family val="2"/>
          </rPr>
          <t xml:space="preserve">
Suggest to re-arrange sub-activities again to match with main activity</t>
        </r>
      </text>
    </comment>
    <comment ref="D9" authorId="2" shapeId="0" xr:uid="{00000000-0006-0000-0A00-000003000000}">
      <text>
        <r>
          <rPr>
            <b/>
            <sz val="9"/>
            <color indexed="81"/>
            <rFont val="Tahoma"/>
            <family val="2"/>
          </rPr>
          <t>User:</t>
        </r>
        <r>
          <rPr>
            <sz val="9"/>
            <color indexed="81"/>
            <rFont val="Tahoma"/>
            <family val="2"/>
          </rPr>
          <t xml:space="preserve">
Previous was "Review standards of CSA, GAP and SRP Agribusiness policy development)"</t>
        </r>
      </text>
    </comment>
    <comment ref="E9" authorId="2" shapeId="0" xr:uid="{00000000-0006-0000-0A00-000004000000}">
      <text>
        <r>
          <rPr>
            <b/>
            <sz val="9"/>
            <color indexed="81"/>
            <rFont val="Tahoma"/>
            <family val="2"/>
          </rPr>
          <t>User:</t>
        </r>
        <r>
          <rPr>
            <sz val="9"/>
            <color indexed="81"/>
            <rFont val="Tahoma"/>
            <family val="2"/>
          </rPr>
          <t xml:space="preserve">
Previous is No</t>
        </r>
      </text>
    </comment>
    <comment ref="F9" authorId="2" shapeId="0" xr:uid="{00000000-0006-0000-0A00-000005000000}">
      <text>
        <r>
          <rPr>
            <b/>
            <sz val="9"/>
            <color indexed="81"/>
            <rFont val="Tahoma"/>
            <family val="2"/>
          </rPr>
          <t>User:</t>
        </r>
        <r>
          <rPr>
            <sz val="9"/>
            <color indexed="81"/>
            <rFont val="Tahoma"/>
            <family val="2"/>
          </rPr>
          <t xml:space="preserve">
Previous  3</t>
        </r>
      </text>
    </comment>
    <comment ref="N9" authorId="2" shapeId="0" xr:uid="{00000000-0006-0000-0A00-000006000000}">
      <text>
        <r>
          <rPr>
            <b/>
            <sz val="9"/>
            <color indexed="81"/>
            <rFont val="Tahoma"/>
            <family val="2"/>
          </rPr>
          <t>User:</t>
        </r>
        <r>
          <rPr>
            <sz val="9"/>
            <color indexed="81"/>
            <rFont val="Tahoma"/>
            <family val="2"/>
          </rPr>
          <t xml:space="preserve">
Previous 2</t>
        </r>
      </text>
    </comment>
    <comment ref="D10" authorId="2" shapeId="0" xr:uid="{00000000-0006-0000-0A00-000007000000}">
      <text>
        <r>
          <rPr>
            <b/>
            <sz val="9"/>
            <color indexed="81"/>
            <rFont val="Tahoma"/>
            <family val="2"/>
          </rPr>
          <t>User:</t>
        </r>
        <r>
          <rPr>
            <sz val="9"/>
            <color indexed="81"/>
            <rFont val="Tahoma"/>
            <family val="2"/>
          </rPr>
          <t xml:space="preserve">
Previous "Formulate climate smart agribusiness policy "/Second was "(Contract farming policy development _as a component of agribusiness policy"</t>
        </r>
      </text>
    </comment>
    <comment ref="E10" authorId="2" shapeId="0" xr:uid="{00000000-0006-0000-0A00-000008000000}">
      <text>
        <r>
          <rPr>
            <b/>
            <sz val="9"/>
            <color indexed="81"/>
            <rFont val="Tahoma"/>
            <family val="2"/>
          </rPr>
          <t>User:</t>
        </r>
        <r>
          <rPr>
            <sz val="9"/>
            <color indexed="81"/>
            <rFont val="Tahoma"/>
            <family val="2"/>
          </rPr>
          <t xml:space="preserve">
Previous do not have contract farming policy</t>
        </r>
      </text>
    </comment>
    <comment ref="D11" authorId="1" shapeId="0" xr:uid="{00000000-0006-0000-0A00-000009000000}">
      <text>
        <r>
          <rPr>
            <b/>
            <sz val="9"/>
            <color indexed="81"/>
            <rFont val="Tahoma"/>
            <family val="2"/>
          </rPr>
          <t>Lenovo:</t>
        </r>
        <r>
          <rPr>
            <sz val="9"/>
            <color indexed="81"/>
            <rFont val="Tahoma"/>
            <family val="2"/>
          </rPr>
          <t xml:space="preserve">
row 10 &amp; 11  combine into 1 policy. Referred to Pollard, Climate smart  agribusiness policy and gender responsive agribusiness policy is only one policy</t>
        </r>
      </text>
    </comment>
    <comment ref="E11" authorId="2" shapeId="0" xr:uid="{00000000-0006-0000-0A00-00000A000000}">
      <text>
        <r>
          <rPr>
            <b/>
            <sz val="9"/>
            <color indexed="81"/>
            <rFont val="Tahoma"/>
            <family val="2"/>
          </rPr>
          <t>User:</t>
        </r>
        <r>
          <rPr>
            <sz val="9"/>
            <color indexed="81"/>
            <rFont val="Tahoma"/>
            <family val="2"/>
          </rPr>
          <t xml:space="preserve">
Previous does not have development proclamation to support AC</t>
        </r>
      </text>
    </comment>
    <comment ref="E12" authorId="2" shapeId="0" xr:uid="{00000000-0006-0000-0A00-00000B000000}">
      <text>
        <r>
          <rPr>
            <b/>
            <sz val="9"/>
            <color indexed="81"/>
            <rFont val="Tahoma"/>
            <family val="2"/>
          </rPr>
          <t>User:</t>
        </r>
        <r>
          <rPr>
            <sz val="9"/>
            <color indexed="81"/>
            <rFont val="Tahoma"/>
            <family val="2"/>
          </rPr>
          <t xml:space="preserve">
Previous is not here, but under other colum</t>
        </r>
      </text>
    </comment>
    <comment ref="C14" authorId="1" shapeId="0" xr:uid="{00000000-0006-0000-0A00-00000C000000}">
      <text>
        <r>
          <rPr>
            <b/>
            <sz val="9"/>
            <color indexed="81"/>
            <rFont val="Tahoma"/>
            <family val="2"/>
          </rPr>
          <t>Lenovo:</t>
        </r>
        <r>
          <rPr>
            <sz val="9"/>
            <color indexed="81"/>
            <rFont val="Tahoma"/>
            <family val="2"/>
          </rPr>
          <t xml:space="preserve">
Suggest to re-arrange sub-activities again to match with main activity</t>
        </r>
      </text>
    </comment>
    <comment ref="D14" authorId="2" shapeId="0" xr:uid="{00000000-0006-0000-0A00-00000D000000}">
      <text>
        <r>
          <rPr>
            <b/>
            <sz val="9"/>
            <color indexed="81"/>
            <rFont val="Tahoma"/>
            <family val="2"/>
          </rPr>
          <t>User:</t>
        </r>
        <r>
          <rPr>
            <sz val="9"/>
            <color indexed="81"/>
            <rFont val="Tahoma"/>
            <family val="2"/>
          </rPr>
          <t xml:space="preserve">
Previous was "Identify Fruit for Developing GAP Standards"</t>
        </r>
      </text>
    </comment>
    <comment ref="E14" authorId="2" shapeId="0" xr:uid="{00000000-0006-0000-0A00-00000E000000}">
      <text>
        <r>
          <rPr>
            <b/>
            <sz val="9"/>
            <color indexed="81"/>
            <rFont val="Tahoma"/>
            <family val="2"/>
          </rPr>
          <t>User:</t>
        </r>
        <r>
          <rPr>
            <sz val="9"/>
            <color indexed="81"/>
            <rFont val="Tahoma"/>
            <family val="2"/>
          </rPr>
          <t xml:space="preserve">
Previous is No.</t>
        </r>
      </text>
    </comment>
    <comment ref="D15" authorId="2" shapeId="0" xr:uid="{00000000-0006-0000-0A00-00000F000000}">
      <text>
        <r>
          <rPr>
            <b/>
            <sz val="9"/>
            <color indexed="81"/>
            <rFont val="Tahoma"/>
            <family val="2"/>
          </rPr>
          <t>User:</t>
        </r>
        <r>
          <rPr>
            <sz val="9"/>
            <color indexed="81"/>
            <rFont val="Tahoma"/>
            <family val="2"/>
          </rPr>
          <t xml:space="preserve">
Previous was "Develop GAP Standards for tropical  Fruit"</t>
        </r>
      </text>
    </comment>
    <comment ref="E15" authorId="2" shapeId="0" xr:uid="{00000000-0006-0000-0A00-000010000000}">
      <text>
        <r>
          <rPr>
            <b/>
            <sz val="9"/>
            <color indexed="81"/>
            <rFont val="Tahoma"/>
            <family val="2"/>
          </rPr>
          <t>User:</t>
        </r>
        <r>
          <rPr>
            <sz val="9"/>
            <color indexed="81"/>
            <rFont val="Tahoma"/>
            <family val="2"/>
          </rPr>
          <t xml:space="preserve">
Previous is No.</t>
        </r>
      </text>
    </comment>
    <comment ref="F15" authorId="2" shapeId="0" xr:uid="{00000000-0006-0000-0A00-000011000000}">
      <text>
        <r>
          <rPr>
            <b/>
            <sz val="9"/>
            <color indexed="81"/>
            <rFont val="Tahoma"/>
            <family val="2"/>
          </rPr>
          <t>User:</t>
        </r>
        <r>
          <rPr>
            <sz val="9"/>
            <color indexed="81"/>
            <rFont val="Tahoma"/>
            <family val="2"/>
          </rPr>
          <t xml:space="preserve">
Previous 1</t>
        </r>
      </text>
    </comment>
    <comment ref="G15" authorId="2" shapeId="0" xr:uid="{00000000-0006-0000-0A00-000012000000}">
      <text>
        <r>
          <rPr>
            <b/>
            <sz val="9"/>
            <color indexed="81"/>
            <rFont val="Tahoma"/>
            <family val="2"/>
          </rPr>
          <t>User:</t>
        </r>
        <r>
          <rPr>
            <sz val="9"/>
            <color indexed="81"/>
            <rFont val="Tahoma"/>
            <family val="2"/>
          </rPr>
          <t xml:space="preserve">
Previous 20</t>
        </r>
      </text>
    </comment>
    <comment ref="M15" authorId="2" shapeId="0" xr:uid="{00000000-0006-0000-0A00-000013000000}">
      <text>
        <r>
          <rPr>
            <b/>
            <sz val="9"/>
            <color indexed="81"/>
            <rFont val="Tahoma"/>
            <family val="2"/>
          </rPr>
          <t>User:</t>
        </r>
        <r>
          <rPr>
            <sz val="9"/>
            <color indexed="81"/>
            <rFont val="Tahoma"/>
            <family val="2"/>
          </rPr>
          <t xml:space="preserve">
Previous 0.50</t>
        </r>
      </text>
    </comment>
    <comment ref="D16" authorId="2" shapeId="0" xr:uid="{00000000-0006-0000-0A00-000014000000}">
      <text>
        <r>
          <rPr>
            <b/>
            <sz val="9"/>
            <color indexed="81"/>
            <rFont val="Tahoma"/>
            <family val="2"/>
          </rPr>
          <t>User:</t>
        </r>
        <r>
          <rPr>
            <sz val="9"/>
            <color indexed="81"/>
            <rFont val="Tahoma"/>
            <family val="2"/>
          </rPr>
          <t xml:space="preserve">
Previous was "Secure Endorsement for GAP Standards for tropical fruit"</t>
        </r>
      </text>
    </comment>
    <comment ref="E16" authorId="2" shapeId="0" xr:uid="{00000000-0006-0000-0A00-000015000000}">
      <text>
        <r>
          <rPr>
            <b/>
            <sz val="9"/>
            <color indexed="81"/>
            <rFont val="Tahoma"/>
            <family val="2"/>
          </rPr>
          <t>User:</t>
        </r>
        <r>
          <rPr>
            <sz val="9"/>
            <color indexed="81"/>
            <rFont val="Tahoma"/>
            <family val="2"/>
          </rPr>
          <t xml:space="preserve">
Previous is No.</t>
        </r>
      </text>
    </comment>
    <comment ref="E17" authorId="2" shapeId="0" xr:uid="{00000000-0006-0000-0A00-000016000000}">
      <text>
        <r>
          <rPr>
            <b/>
            <sz val="9"/>
            <color indexed="81"/>
            <rFont val="Tahoma"/>
            <family val="2"/>
          </rPr>
          <t>User:</t>
        </r>
        <r>
          <rPr>
            <sz val="9"/>
            <color indexed="81"/>
            <rFont val="Tahoma"/>
            <family val="2"/>
          </rPr>
          <t xml:space="preserve">
Previous is No.</t>
        </r>
      </text>
    </comment>
    <comment ref="G17" authorId="2" shapeId="0" xr:uid="{00000000-0006-0000-0A00-000017000000}">
      <text>
        <r>
          <rPr>
            <b/>
            <sz val="9"/>
            <color indexed="81"/>
            <rFont val="Tahoma"/>
            <family val="2"/>
          </rPr>
          <t>User:</t>
        </r>
        <r>
          <rPr>
            <sz val="9"/>
            <color indexed="81"/>
            <rFont val="Tahoma"/>
            <family val="2"/>
          </rPr>
          <t xml:space="preserve">
Previous 20</t>
        </r>
      </text>
    </comment>
    <comment ref="M17" authorId="2" shapeId="0" xr:uid="{00000000-0006-0000-0A00-000018000000}">
      <text>
        <r>
          <rPr>
            <b/>
            <sz val="9"/>
            <color indexed="81"/>
            <rFont val="Tahoma"/>
            <family val="2"/>
          </rPr>
          <t>User:</t>
        </r>
        <r>
          <rPr>
            <sz val="9"/>
            <color indexed="81"/>
            <rFont val="Tahoma"/>
            <family val="2"/>
          </rPr>
          <t xml:space="preserve">
Previous 0.00</t>
        </r>
      </text>
    </comment>
    <comment ref="E18" authorId="2" shapeId="0" xr:uid="{00000000-0006-0000-0A00-000019000000}">
      <text>
        <r>
          <rPr>
            <b/>
            <sz val="9"/>
            <color indexed="81"/>
            <rFont val="Tahoma"/>
            <family val="2"/>
          </rPr>
          <t>User:</t>
        </r>
        <r>
          <rPr>
            <sz val="9"/>
            <color indexed="81"/>
            <rFont val="Tahoma"/>
            <family val="2"/>
          </rPr>
          <t xml:space="preserve">
Previous is No.</t>
        </r>
      </text>
    </comment>
    <comment ref="G18" authorId="2" shapeId="0" xr:uid="{00000000-0006-0000-0A00-00001A000000}">
      <text>
        <r>
          <rPr>
            <b/>
            <sz val="9"/>
            <color indexed="81"/>
            <rFont val="Tahoma"/>
            <family val="2"/>
          </rPr>
          <t>User:</t>
        </r>
        <r>
          <rPr>
            <sz val="9"/>
            <color indexed="81"/>
            <rFont val="Tahoma"/>
            <family val="2"/>
          </rPr>
          <t xml:space="preserve">
Previous 0</t>
        </r>
      </text>
    </comment>
    <comment ref="I18" authorId="2" shapeId="0" xr:uid="{00000000-0006-0000-0A00-00001B000000}">
      <text>
        <r>
          <rPr>
            <b/>
            <sz val="9"/>
            <color indexed="81"/>
            <rFont val="Tahoma"/>
            <family val="2"/>
          </rPr>
          <t>User:</t>
        </r>
        <r>
          <rPr>
            <sz val="9"/>
            <color indexed="81"/>
            <rFont val="Tahoma"/>
            <family val="2"/>
          </rPr>
          <t xml:space="preserve">
Previous 0</t>
        </r>
      </text>
    </comment>
    <comment ref="M18" authorId="2" shapeId="0" xr:uid="{00000000-0006-0000-0A00-00001C000000}">
      <text>
        <r>
          <rPr>
            <b/>
            <sz val="9"/>
            <color indexed="81"/>
            <rFont val="Tahoma"/>
            <family val="2"/>
          </rPr>
          <t>User:</t>
        </r>
        <r>
          <rPr>
            <sz val="9"/>
            <color indexed="81"/>
            <rFont val="Tahoma"/>
            <family val="2"/>
          </rPr>
          <t xml:space="preserve">
Previous is 0</t>
        </r>
      </text>
    </comment>
    <comment ref="E19" authorId="2" shapeId="0" xr:uid="{00000000-0006-0000-0A00-00001D000000}">
      <text>
        <r>
          <rPr>
            <b/>
            <sz val="9"/>
            <color indexed="81"/>
            <rFont val="Tahoma"/>
            <family val="2"/>
          </rPr>
          <t>User:</t>
        </r>
        <r>
          <rPr>
            <sz val="9"/>
            <color indexed="81"/>
            <rFont val="Tahoma"/>
            <family val="2"/>
          </rPr>
          <t xml:space="preserve">
Previous is No.</t>
        </r>
      </text>
    </comment>
    <comment ref="G19" authorId="2" shapeId="0" xr:uid="{00000000-0006-0000-0A00-00001E000000}">
      <text>
        <r>
          <rPr>
            <b/>
            <sz val="9"/>
            <color indexed="81"/>
            <rFont val="Tahoma"/>
            <family val="2"/>
          </rPr>
          <t>User:</t>
        </r>
        <r>
          <rPr>
            <sz val="9"/>
            <color indexed="81"/>
            <rFont val="Tahoma"/>
            <family val="2"/>
          </rPr>
          <t xml:space="preserve">
Previous 0</t>
        </r>
      </text>
    </comment>
    <comment ref="I19" authorId="2" shapeId="0" xr:uid="{00000000-0006-0000-0A00-00001F000000}">
      <text>
        <r>
          <rPr>
            <b/>
            <sz val="9"/>
            <color indexed="81"/>
            <rFont val="Tahoma"/>
            <family val="2"/>
          </rPr>
          <t>User:</t>
        </r>
        <r>
          <rPr>
            <sz val="9"/>
            <color indexed="81"/>
            <rFont val="Tahoma"/>
            <family val="2"/>
          </rPr>
          <t xml:space="preserve">
Previous 0</t>
        </r>
      </text>
    </comment>
    <comment ref="M19" authorId="2" shapeId="0" xr:uid="{00000000-0006-0000-0A00-000020000000}">
      <text>
        <r>
          <rPr>
            <b/>
            <sz val="9"/>
            <color indexed="81"/>
            <rFont val="Tahoma"/>
            <family val="2"/>
          </rPr>
          <t>User:</t>
        </r>
        <r>
          <rPr>
            <sz val="9"/>
            <color indexed="81"/>
            <rFont val="Tahoma"/>
            <family val="2"/>
          </rPr>
          <t xml:space="preserve">
Previous is 0</t>
        </r>
      </text>
    </comment>
    <comment ref="E28" authorId="2" shapeId="0" xr:uid="{00000000-0006-0000-0A00-000021000000}">
      <text>
        <r>
          <rPr>
            <b/>
            <sz val="9"/>
            <color indexed="81"/>
            <rFont val="Tahoma"/>
            <family val="2"/>
          </rPr>
          <t>User:</t>
        </r>
        <r>
          <rPr>
            <sz val="9"/>
            <color indexed="81"/>
            <rFont val="Tahoma"/>
            <family val="2"/>
          </rPr>
          <t xml:space="preserve">
Previous is Assessment</t>
        </r>
      </text>
    </comment>
    <comment ref="E29" authorId="2" shapeId="0" xr:uid="{00000000-0006-0000-0A00-000022000000}">
      <text>
        <r>
          <rPr>
            <b/>
            <sz val="9"/>
            <color indexed="81"/>
            <rFont val="Tahoma"/>
            <family val="2"/>
          </rPr>
          <t>User:</t>
        </r>
        <r>
          <rPr>
            <sz val="9"/>
            <color indexed="81"/>
            <rFont val="Tahoma"/>
            <family val="2"/>
          </rPr>
          <t xml:space="preserve">
User:
Previous is Set</t>
        </r>
      </text>
    </comment>
    <comment ref="E30" authorId="2" shapeId="0" xr:uid="{00000000-0006-0000-0A00-000023000000}">
      <text>
        <r>
          <rPr>
            <b/>
            <sz val="9"/>
            <color indexed="81"/>
            <rFont val="Tahoma"/>
            <family val="2"/>
          </rPr>
          <t>User:</t>
        </r>
        <r>
          <rPr>
            <sz val="9"/>
            <color indexed="81"/>
            <rFont val="Tahoma"/>
            <family val="2"/>
          </rPr>
          <t xml:space="preserve">
User:
Previous is Set</t>
        </r>
      </text>
    </comment>
    <comment ref="M30" authorId="2" shapeId="0" xr:uid="{00000000-0006-0000-0A00-000024000000}">
      <text>
        <r>
          <rPr>
            <b/>
            <sz val="9"/>
            <color indexed="81"/>
            <rFont val="Tahoma"/>
            <family val="2"/>
          </rPr>
          <t>User:</t>
        </r>
        <r>
          <rPr>
            <sz val="9"/>
            <color indexed="81"/>
            <rFont val="Tahoma"/>
            <family val="2"/>
          </rPr>
          <t xml:space="preserve">
Previous 15.00</t>
        </r>
      </text>
    </comment>
    <comment ref="E34" authorId="2" shapeId="0" xr:uid="{00000000-0006-0000-0A00-000025000000}">
      <text>
        <r>
          <rPr>
            <b/>
            <sz val="9"/>
            <color indexed="81"/>
            <rFont val="Tahoma"/>
            <family val="2"/>
          </rPr>
          <t>User:</t>
        </r>
        <r>
          <rPr>
            <sz val="9"/>
            <color indexed="81"/>
            <rFont val="Tahoma"/>
            <family val="2"/>
          </rPr>
          <t xml:space="preserve">
Previous is Assessment</t>
        </r>
      </text>
    </comment>
    <comment ref="AX43" authorId="2" shapeId="0" xr:uid="{00000000-0006-0000-0A00-000026000000}">
      <text>
        <r>
          <rPr>
            <b/>
            <sz val="9"/>
            <color indexed="81"/>
            <rFont val="Tahoma"/>
            <family val="2"/>
          </rPr>
          <t>User:</t>
        </r>
        <r>
          <rPr>
            <sz val="9"/>
            <color indexed="81"/>
            <rFont val="Tahoma"/>
            <family val="2"/>
          </rPr>
          <t xml:space="preserve">
 Follow-up with MEF on reviewing report of CEC (Consulting Evaluation Committee) on EOIs shortlisting for Consulting Service of, Information and Communication Technology (ICT) Platform for Climate Risk Management in Agribusiness Value Chains in Kampong Cham Province - Package CS4 (by Procurement team).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XMG</author>
  </authors>
  <commentList>
    <comment ref="D7" authorId="0" shapeId="0" xr:uid="{00000000-0006-0000-0B00-000001000000}">
      <text>
        <r>
          <rPr>
            <b/>
            <sz val="9"/>
            <color indexed="81"/>
            <rFont val="Tahoma"/>
            <family val="2"/>
          </rPr>
          <t>User:</t>
        </r>
        <r>
          <rPr>
            <sz val="9"/>
            <color indexed="81"/>
            <rFont val="Tahoma"/>
            <family val="2"/>
          </rPr>
          <t xml:space="preserve">
Several individual meetings with Mr. Vanarath - Head of DoP office/MAFF, and Mr. Mak Many - Head of DoP/MAFF, there is neither  indicators codes related, nor database system.</t>
        </r>
      </text>
    </comment>
    <comment ref="Y8" authorId="0" shapeId="0" xr:uid="{00000000-0006-0000-0B00-000002000000}">
      <text>
        <r>
          <rPr>
            <b/>
            <sz val="9"/>
            <color indexed="81"/>
            <rFont val="Tahoma"/>
            <family val="2"/>
          </rPr>
          <t>User:</t>
        </r>
        <r>
          <rPr>
            <sz val="9"/>
            <color indexed="81"/>
            <rFont val="Tahoma"/>
            <family val="2"/>
          </rPr>
          <t xml:space="preserve">
Linked from DMF sheet of Physical Progress.</t>
        </r>
      </text>
    </comment>
    <comment ref="AB8" authorId="0" shapeId="0" xr:uid="{00000000-0006-0000-0B00-000003000000}">
      <text>
        <r>
          <rPr>
            <b/>
            <sz val="9"/>
            <color indexed="81"/>
            <rFont val="Tahoma"/>
            <family val="2"/>
          </rPr>
          <t>User:</t>
        </r>
        <r>
          <rPr>
            <sz val="9"/>
            <color indexed="81"/>
            <rFont val="Tahoma"/>
            <family val="2"/>
          </rPr>
          <t xml:space="preserve">
Linked from DMF sheet of Physical Progress.</t>
        </r>
      </text>
    </comment>
    <comment ref="AF8" authorId="0" shapeId="0" xr:uid="{00000000-0006-0000-0B00-000004000000}">
      <text>
        <r>
          <rPr>
            <b/>
            <sz val="9"/>
            <color indexed="81"/>
            <rFont val="Tahoma"/>
            <family val="2"/>
          </rPr>
          <t>User:</t>
        </r>
        <r>
          <rPr>
            <sz val="9"/>
            <color indexed="81"/>
            <rFont val="Tahoma"/>
            <family val="2"/>
          </rPr>
          <t xml:space="preserve">
Linked from DMF sheet of Physical Progress.</t>
        </r>
      </text>
    </comment>
    <comment ref="E10" authorId="1" shapeId="0" xr:uid="{00000000-0006-0000-0B00-000005000000}">
      <text>
        <r>
          <rPr>
            <b/>
            <sz val="9"/>
            <color indexed="81"/>
            <rFont val="Tahoma"/>
            <family val="2"/>
          </rPr>
          <t>XMG:</t>
        </r>
        <r>
          <rPr>
            <sz val="9"/>
            <color indexed="81"/>
            <rFont val="Tahoma"/>
            <family val="2"/>
          </rPr>
          <t xml:space="preserve">
PAM, p. 52, 53.</t>
        </r>
      </text>
    </comment>
    <comment ref="Q23" authorId="0" shapeId="0" xr:uid="{00000000-0006-0000-0B00-000006000000}">
      <text>
        <r>
          <rPr>
            <b/>
            <sz val="9"/>
            <color indexed="81"/>
            <rFont val="Tahoma"/>
            <family val="2"/>
          </rPr>
          <t>User:</t>
        </r>
        <r>
          <rPr>
            <sz val="9"/>
            <color indexed="81"/>
            <rFont val="Tahoma"/>
            <family val="2"/>
          </rPr>
          <t xml:space="preserve">
Take 1 out is Ko Eurt Irrigation system in Batheay district, KPC, with reason due to PDoWRAM is repairing under the MoWRAM budget. </t>
        </r>
      </text>
    </comment>
    <comment ref="E80" authorId="1" shapeId="0" xr:uid="{00000000-0006-0000-0B00-000007000000}">
      <text>
        <r>
          <rPr>
            <b/>
            <sz val="9"/>
            <color indexed="81"/>
            <rFont val="Tahoma"/>
            <family val="2"/>
          </rPr>
          <t>XMG:</t>
        </r>
        <r>
          <rPr>
            <sz val="9"/>
            <color indexed="81"/>
            <rFont val="Tahoma"/>
            <family val="2"/>
          </rPr>
          <t xml:space="preserve">
PAM, p. 47-50
Gender activities/actions,
1.1.1 Involve women and Women Farmers Network
(WFN) representatives actively and meaningfully in each
individual event for all consultations and planning activities related to improvement and climate resiliency of critical infrastructure supported by the project.
- This would mean paying attention to the following
aspects: convenient time, adequate venue, information sharing with visual aids/illustrations, having female facilitators, child supervision arrangements, etc.
</t>
        </r>
      </text>
    </comment>
    <comment ref="E88" authorId="1" shapeId="0" xr:uid="{00000000-0006-0000-0B00-000008000000}">
      <text>
        <r>
          <rPr>
            <b/>
            <sz val="9"/>
            <color indexed="81"/>
            <rFont val="Tahoma"/>
            <family val="2"/>
          </rPr>
          <t xml:space="preserve">XMG:
</t>
        </r>
        <r>
          <rPr>
            <sz val="9"/>
            <color indexed="81"/>
            <rFont val="Tahoma"/>
            <family val="2"/>
          </rPr>
          <t xml:space="preserve">Gender activities/actions,
1.2.1 Ensure women benefit from jobs created by the project related to infrastructure construction/rehabilitation as well as operation and maintenance.
- This would mean that information about such employment opportunities will be communicated through adequate channels to reach out women in the
communities.
- Core labor standards will be complied with (equal pay for work of equal value, no child labor) for all civil works related to the project.
- Other measures that are needed will be taken (e.g. child supervision arrangements even if informal) so that interested women can grasp such opportunities.
</t>
        </r>
      </text>
    </comment>
    <comment ref="E92" authorId="1" shapeId="0" xr:uid="{00000000-0006-0000-0B00-000009000000}">
      <text>
        <r>
          <rPr>
            <b/>
            <sz val="9"/>
            <color indexed="81"/>
            <rFont val="Tahoma"/>
            <family val="2"/>
          </rPr>
          <t>XMG:</t>
        </r>
        <r>
          <rPr>
            <sz val="9"/>
            <color indexed="81"/>
            <rFont val="Tahoma"/>
            <family val="2"/>
          </rPr>
          <t xml:space="preserve">
Gender activities/actions,
1.2.2 Provide skills enhancement for women in infrastructure related construction/rehabilitation (e.g. masonry skills for bio-digesters construction), and operation and maintenance (e.g. small-scale irrigation schemes).</t>
        </r>
      </text>
    </comment>
    <comment ref="E94" authorId="1" shapeId="0" xr:uid="{00000000-0006-0000-0B00-00000A000000}">
      <text>
        <r>
          <rPr>
            <b/>
            <sz val="9"/>
            <color indexed="81"/>
            <rFont val="Tahoma"/>
            <family val="2"/>
          </rPr>
          <t>XMG:</t>
        </r>
        <r>
          <rPr>
            <sz val="9"/>
            <color indexed="81"/>
            <rFont val="Tahoma"/>
            <family val="2"/>
          </rPr>
          <t xml:space="preserve">
Gender activities/actions,
1.3.1 As part of the promotion campaigns about biodigesters and other renewable energy solutions, raise awareness among women and men in the communities about the benefits for value chain improvement/climate change but also for greater gender equality (time saving, drudgery reduction, improved health).
</t>
        </r>
      </text>
    </comment>
    <comment ref="E98" authorId="1" shapeId="0" xr:uid="{00000000-0006-0000-0B00-00000B000000}">
      <text>
        <r>
          <rPr>
            <b/>
            <sz val="9"/>
            <color indexed="81"/>
            <rFont val="Tahoma"/>
            <family val="2"/>
          </rPr>
          <t>XMG:</t>
        </r>
        <r>
          <rPr>
            <sz val="9"/>
            <color indexed="81"/>
            <rFont val="Tahoma"/>
            <family val="2"/>
          </rPr>
          <t xml:space="preserve">
Gender activities/actions,
1.3.2 Involve women as active agents in the promotion campaigns on the use of renewable energy solutions.</t>
        </r>
      </text>
    </comment>
    <comment ref="E103" authorId="1" shapeId="0" xr:uid="{00000000-0006-0000-0B00-00000C000000}">
      <text>
        <r>
          <rPr>
            <b/>
            <sz val="9"/>
            <color indexed="81"/>
            <rFont val="Tahoma"/>
            <family val="2"/>
          </rPr>
          <t>XMG:</t>
        </r>
        <r>
          <rPr>
            <sz val="9"/>
            <color indexed="81"/>
            <rFont val="Tahoma"/>
            <family val="2"/>
          </rPr>
          <t xml:space="preserve">
Gender Activities/Action,
2.1.1 Involve women farmers (and the WFN) actively in the selection and multiplication of climate resilient crops
varieties and build on their local knowledge in this area.</t>
        </r>
      </text>
    </comment>
    <comment ref="E106" authorId="1" shapeId="0" xr:uid="{00000000-0006-0000-0B00-00000D000000}">
      <text>
        <r>
          <rPr>
            <b/>
            <sz val="9"/>
            <color indexed="81"/>
            <rFont val="Tahoma"/>
            <family val="2"/>
          </rPr>
          <t>XMG:</t>
        </r>
        <r>
          <rPr>
            <sz val="9"/>
            <color indexed="81"/>
            <rFont val="Tahoma"/>
            <family val="2"/>
          </rPr>
          <t xml:space="preserve">
Gender Activities/Action,
2.1.2 Involve women farmers and WFN representatives actively and meaningfully in each individual event for all capacity-building activities (trainings, demonstrations, study tours) supported by the project:
(1) agricultural extension and technical capacity-building activities including those related to climate change adaptation and mitigation;
</t>
        </r>
      </text>
    </comment>
    <comment ref="E113" authorId="1" shapeId="0" xr:uid="{00000000-0006-0000-0B00-00000E000000}">
      <text>
        <r>
          <rPr>
            <b/>
            <sz val="9"/>
            <color indexed="81"/>
            <rFont val="Tahoma"/>
            <family val="2"/>
          </rPr>
          <t>XMG:</t>
        </r>
        <r>
          <rPr>
            <sz val="9"/>
            <color indexed="81"/>
            <rFont val="Tahoma"/>
            <family val="2"/>
          </rPr>
          <t xml:space="preserve">
Gender Activities/Action,
2.1.2 Involve women farmers and WFN representatives actively and meaningfully in each individual event for all capacity-building activities (trainings, demonstrations, study tours) supported by the project:
(2) trainings on how to operate and maintain a range of agricultural machinery;
(3), management (including leadership, negotiation) and business skills trainings.
- This would mean paying special attention to the following aspects: adequate venue, timing, duration, way that invitation is being done (not to head of household as is currently being done), use of visual aids and other
illustrated materials, use of female facilitators/demonstrators and extension agents, child care arrangements even if informal, etc.</t>
        </r>
      </text>
    </comment>
    <comment ref="E117" authorId="1" shapeId="0" xr:uid="{00000000-0006-0000-0B00-00000F000000}">
      <text>
        <r>
          <rPr>
            <b/>
            <sz val="9"/>
            <color indexed="81"/>
            <rFont val="Tahoma"/>
            <family val="2"/>
          </rPr>
          <t>XMG:</t>
        </r>
        <r>
          <rPr>
            <sz val="9"/>
            <color indexed="81"/>
            <rFont val="Tahoma"/>
            <family val="2"/>
          </rPr>
          <t xml:space="preserve">
Gender Activities/Actions,
2.1.3 Strengthen linkages between women-led and/or owned farms/enterprises* and agribusiness industry
For support provided to cooperatives: preferential support will be given to agricultural cooperatives with a majority of female members.
.1.4 Work with the WFN to identify context-appropriate ways to address burden of household and care work for women farmers, especially female headed households, which prevents them to increasingly participate and move up along the value chains.
</t>
        </r>
      </text>
    </comment>
    <comment ref="E126" authorId="1" shapeId="0" xr:uid="{00000000-0006-0000-0B00-000010000000}">
      <text>
        <r>
          <rPr>
            <b/>
            <sz val="9"/>
            <color indexed="81"/>
            <rFont val="Tahoma"/>
            <family val="2"/>
          </rPr>
          <t>XMG:</t>
        </r>
        <r>
          <rPr>
            <sz val="9"/>
            <color indexed="81"/>
            <rFont val="Tahoma"/>
            <family val="2"/>
          </rPr>
          <t xml:space="preserve">
Gender Activities/Actions,
3.1.1 At project inception, refine the gender analysis for each of the 4 targeted value chains and develop a set of clear policy and program recommendations to strengthen women farmers’ involvement along the different value chains. Ensure that capacity is built within MAFF/ Gender &amp; Children Project Support Unit (GCPSU) for gender responsive value chain analysis and develop methodology/guidelines that can be used in future analysis.
</t>
        </r>
      </text>
    </comment>
    <comment ref="E127" authorId="1" shapeId="0" xr:uid="{00000000-0006-0000-0B00-000011000000}">
      <text>
        <r>
          <rPr>
            <b/>
            <sz val="9"/>
            <color indexed="81"/>
            <rFont val="Tahoma"/>
            <family val="2"/>
          </rPr>
          <t>XMG:</t>
        </r>
        <r>
          <rPr>
            <sz val="9"/>
            <color indexed="81"/>
            <rFont val="Tahoma"/>
            <family val="2"/>
          </rPr>
          <t xml:space="preserve">
Gender Activities/Actions,
3.1.2 Integrate key recommendations from the above- mentioned gender analysis of value chains and key features of the MAFF Gender Policy into the Agribusiness policy and other related documents prepared under the project.
- This would also mean that gender stakeholders (MAFF GCPSU representatives, gender focal points, and WFN) participate in policy committees and meetings.
</t>
        </r>
      </text>
    </comment>
    <comment ref="E128" authorId="1" shapeId="0" xr:uid="{00000000-0006-0000-0B00-000012000000}">
      <text>
        <r>
          <rPr>
            <b/>
            <sz val="9"/>
            <color indexed="81"/>
            <rFont val="Tahoma"/>
            <family val="2"/>
          </rPr>
          <t>XMG:</t>
        </r>
        <r>
          <rPr>
            <sz val="9"/>
            <color indexed="81"/>
            <rFont val="Tahoma"/>
            <family val="2"/>
          </rPr>
          <t xml:space="preserve">
Gender Activities/Actions,
3.1.3 Integrate a session on gender equality in climate- friendly agribusiness value chains (based on gender analysis report mentioned above) into the training and awareness raising activities for relevant project stakeholders (i.e. relevant departments in MAFF, agricultural extension agents, local leaders and government officials, GCPSU and Gender Focal Points, and WFN).</t>
        </r>
      </text>
    </comment>
    <comment ref="E131" authorId="1" shapeId="0" xr:uid="{00000000-0006-0000-0B00-000013000000}">
      <text>
        <r>
          <rPr>
            <b/>
            <sz val="9"/>
            <color indexed="81"/>
            <rFont val="Tahoma"/>
            <family val="2"/>
          </rPr>
          <t>XMG:</t>
        </r>
        <r>
          <rPr>
            <sz val="9"/>
            <color indexed="81"/>
            <rFont val="Tahoma"/>
            <family val="2"/>
          </rPr>
          <t xml:space="preserve">
Gender Activities/Actions,
3.1.4 Actively involve the MAFF GCPSU, the sub-national Gender Focal Points (Province, District, Commune), and the WFN and the Agricultural Cooperatives as key partners in project implementation and monitoring, especially for the GAP activities.
- This also entails partnering with the WFN as facilitators/resource persons for agricultural extension and technical capacity-building, awareness-raising and information sharing targeted at farmers including provision of market information.
- WFN social media pages should be used as one of the ways to disseminate information to women farmers.
</t>
        </r>
      </text>
    </comment>
    <comment ref="E133" authorId="1" shapeId="0" xr:uid="{00000000-0006-0000-0B00-000014000000}">
      <text>
        <r>
          <rPr>
            <b/>
            <sz val="9"/>
            <color indexed="81"/>
            <rFont val="Tahoma"/>
            <family val="2"/>
          </rPr>
          <t>XMG:</t>
        </r>
        <r>
          <rPr>
            <sz val="9"/>
            <color indexed="81"/>
            <rFont val="Tahoma"/>
            <family val="2"/>
          </rPr>
          <t xml:space="preserve">
Gender Activities/Actions,
3.2.1 Raise awareness among women farmers/ cooperative members, women-led and/or owned enterprises, and female staff in financial institutions using adequate channels about existing credit facilities, green financing including crop insurance and required formalities to access these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XMG</author>
  </authors>
  <commentList>
    <comment ref="D7" authorId="0" shapeId="0" xr:uid="{00000000-0006-0000-0C00-000001000000}">
      <text>
        <r>
          <rPr>
            <b/>
            <sz val="9"/>
            <color indexed="81"/>
            <rFont val="Tahoma"/>
            <family val="2"/>
          </rPr>
          <t>User:</t>
        </r>
        <r>
          <rPr>
            <sz val="9"/>
            <color indexed="81"/>
            <rFont val="Tahoma"/>
            <family val="2"/>
          </rPr>
          <t xml:space="preserve">
Several individual meetings with Mr. Vanarath - Head of DoP office/MAFF, and Mr. Mak Many - Head of DoP/MAFF, there is neither  indicators codes related, nor database system.</t>
        </r>
      </text>
    </comment>
    <comment ref="Y8" authorId="0" shapeId="0" xr:uid="{00000000-0006-0000-0C00-000002000000}">
      <text>
        <r>
          <rPr>
            <b/>
            <sz val="9"/>
            <color indexed="81"/>
            <rFont val="Tahoma"/>
            <family val="2"/>
          </rPr>
          <t>User:</t>
        </r>
        <r>
          <rPr>
            <sz val="9"/>
            <color indexed="81"/>
            <rFont val="Tahoma"/>
            <family val="2"/>
          </rPr>
          <t xml:space="preserve">
Linked from DMF sheet of Physical Progress.</t>
        </r>
      </text>
    </comment>
    <comment ref="AH8" authorId="0" shapeId="0" xr:uid="{00000000-0006-0000-0C00-000003000000}">
      <text>
        <r>
          <rPr>
            <b/>
            <sz val="9"/>
            <color indexed="81"/>
            <rFont val="Tahoma"/>
            <family val="2"/>
          </rPr>
          <t>User:</t>
        </r>
        <r>
          <rPr>
            <sz val="9"/>
            <color indexed="81"/>
            <rFont val="Tahoma"/>
            <family val="2"/>
          </rPr>
          <t xml:space="preserve">
Linked from DMF sheet of Physical Progress.</t>
        </r>
      </text>
    </comment>
    <comment ref="AB9" authorId="0" shapeId="0" xr:uid="{00000000-0006-0000-0C00-000004000000}">
      <text>
        <r>
          <rPr>
            <b/>
            <sz val="9"/>
            <color indexed="81"/>
            <rFont val="Tahoma"/>
            <family val="2"/>
          </rPr>
          <t>User:</t>
        </r>
        <r>
          <rPr>
            <sz val="9"/>
            <color indexed="81"/>
            <rFont val="Tahoma"/>
            <family val="2"/>
          </rPr>
          <t xml:space="preserve">
Linked from DMF sheet of Physical Progress.</t>
        </r>
      </text>
    </comment>
    <comment ref="E10" authorId="1" shapeId="0" xr:uid="{00000000-0006-0000-0C00-000005000000}">
      <text>
        <r>
          <rPr>
            <b/>
            <sz val="9"/>
            <color indexed="81"/>
            <rFont val="Tahoma"/>
            <family val="2"/>
          </rPr>
          <t>XMG:</t>
        </r>
        <r>
          <rPr>
            <sz val="9"/>
            <color indexed="81"/>
            <rFont val="Tahoma"/>
            <family val="2"/>
          </rPr>
          <t xml:space="preserve">
PAM, p. 52, 53.</t>
        </r>
      </text>
    </comment>
    <comment ref="Q23" authorId="0" shapeId="0" xr:uid="{00000000-0006-0000-0C00-000006000000}">
      <text>
        <r>
          <rPr>
            <b/>
            <sz val="9"/>
            <color indexed="81"/>
            <rFont val="Tahoma"/>
            <family val="2"/>
          </rPr>
          <t>User:</t>
        </r>
        <r>
          <rPr>
            <sz val="9"/>
            <color indexed="81"/>
            <rFont val="Tahoma"/>
            <family val="2"/>
          </rPr>
          <t xml:space="preserve">
Take 1 out is Ko Eurt Irrigation system in Batheay district, KPC, with reason due to PDoWRAM is repairing under the MoWRAM budget. </t>
        </r>
      </text>
    </comment>
    <comment ref="Q33" authorId="0" shapeId="0" xr:uid="{00000000-0006-0000-0C00-000007000000}">
      <text>
        <r>
          <rPr>
            <b/>
            <sz val="9"/>
            <color indexed="81"/>
            <rFont val="Tahoma"/>
            <family val="2"/>
          </rPr>
          <t>User:</t>
        </r>
        <r>
          <rPr>
            <sz val="9"/>
            <color indexed="81"/>
            <rFont val="Tahoma"/>
            <family val="2"/>
          </rPr>
          <t xml:space="preserve">
Previous 2,500</t>
        </r>
      </text>
    </comment>
    <comment ref="Q35" authorId="0" shapeId="0" xr:uid="{00000000-0006-0000-0C00-000008000000}">
      <text>
        <r>
          <rPr>
            <b/>
            <sz val="9"/>
            <color indexed="81"/>
            <rFont val="Tahoma"/>
            <family val="2"/>
          </rPr>
          <t>User:</t>
        </r>
        <r>
          <rPr>
            <sz val="9"/>
            <color indexed="81"/>
            <rFont val="Tahoma"/>
            <family val="2"/>
          </rPr>
          <t xml:space="preserve">
Previous 1250</t>
        </r>
      </text>
    </comment>
    <comment ref="Q36" authorId="0" shapeId="0" xr:uid="{00000000-0006-0000-0C00-000009000000}">
      <text>
        <r>
          <rPr>
            <b/>
            <sz val="9"/>
            <color indexed="81"/>
            <rFont val="Tahoma"/>
            <family val="2"/>
          </rPr>
          <t>User:</t>
        </r>
        <r>
          <rPr>
            <sz val="9"/>
            <color indexed="81"/>
            <rFont val="Tahoma"/>
            <family val="2"/>
          </rPr>
          <t xml:space="preserve">
Previous 2,083</t>
        </r>
      </text>
    </comment>
    <comment ref="Q37" authorId="0" shapeId="0" xr:uid="{00000000-0006-0000-0C00-00000A000000}">
      <text>
        <r>
          <rPr>
            <b/>
            <sz val="9"/>
            <color indexed="81"/>
            <rFont val="Tahoma"/>
            <family val="2"/>
          </rPr>
          <t>User:</t>
        </r>
        <r>
          <rPr>
            <sz val="9"/>
            <color indexed="81"/>
            <rFont val="Tahoma"/>
            <family val="2"/>
          </rPr>
          <t xml:space="preserve">
Previous 5000</t>
        </r>
      </text>
    </comment>
    <comment ref="L42" authorId="0" shapeId="0" xr:uid="{00000000-0006-0000-0C00-00000B000000}">
      <text>
        <r>
          <rPr>
            <b/>
            <sz val="9"/>
            <color indexed="81"/>
            <rFont val="Tahoma"/>
            <family val="2"/>
          </rPr>
          <t>User:</t>
        </r>
        <r>
          <rPr>
            <sz val="9"/>
            <color indexed="81"/>
            <rFont val="Tahoma"/>
            <family val="2"/>
          </rPr>
          <t xml:space="preserve">
Planned in 2021,
- 90 demos for rice 
- 10 demos for cassava
- 30 Field days </t>
        </r>
      </text>
    </comment>
    <comment ref="Q44" authorId="0" shapeId="0" xr:uid="{00000000-0006-0000-0C00-00000C000000}">
      <text>
        <r>
          <rPr>
            <b/>
            <sz val="9"/>
            <color indexed="81"/>
            <rFont val="Tahoma"/>
            <family val="2"/>
          </rPr>
          <t>User:</t>
        </r>
        <r>
          <rPr>
            <sz val="9"/>
            <color indexed="81"/>
            <rFont val="Tahoma"/>
            <family val="2"/>
          </rPr>
          <t xml:space="preserve">
Previous10,000</t>
        </r>
      </text>
    </comment>
    <comment ref="Q45" authorId="0" shapeId="0" xr:uid="{00000000-0006-0000-0C00-00000D000000}">
      <text>
        <r>
          <rPr>
            <b/>
            <sz val="9"/>
            <color indexed="81"/>
            <rFont val="Tahoma"/>
            <family val="2"/>
          </rPr>
          <t>User:</t>
        </r>
        <r>
          <rPr>
            <sz val="9"/>
            <color indexed="81"/>
            <rFont val="Tahoma"/>
            <family val="2"/>
          </rPr>
          <t xml:space="preserve">
Previous 5,000</t>
        </r>
      </text>
    </comment>
    <comment ref="Q46" authorId="0" shapeId="0" xr:uid="{00000000-0006-0000-0C00-00000E000000}">
      <text>
        <r>
          <rPr>
            <b/>
            <sz val="9"/>
            <color indexed="81"/>
            <rFont val="Tahoma"/>
            <family val="2"/>
          </rPr>
          <t>User:</t>
        </r>
        <r>
          <rPr>
            <sz val="9"/>
            <color indexed="81"/>
            <rFont val="Tahoma"/>
            <family val="2"/>
          </rPr>
          <t xml:space="preserve">
Previous 4938</t>
        </r>
      </text>
    </comment>
    <comment ref="Q47" authorId="0" shapeId="0" xr:uid="{00000000-0006-0000-0C00-00000F000000}">
      <text>
        <r>
          <rPr>
            <b/>
            <sz val="9"/>
            <color indexed="81"/>
            <rFont val="Tahoma"/>
            <family val="2"/>
          </rPr>
          <t>User:</t>
        </r>
        <r>
          <rPr>
            <sz val="9"/>
            <color indexed="81"/>
            <rFont val="Tahoma"/>
            <family val="2"/>
          </rPr>
          <t xml:space="preserve">
Previous 4,781</t>
        </r>
      </text>
    </comment>
    <comment ref="Q48" authorId="0" shapeId="0" xr:uid="{00000000-0006-0000-0C00-000010000000}">
      <text>
        <r>
          <rPr>
            <b/>
            <sz val="9"/>
            <color indexed="81"/>
            <rFont val="Tahoma"/>
            <family val="2"/>
          </rPr>
          <t>User:</t>
        </r>
        <r>
          <rPr>
            <sz val="9"/>
            <color indexed="81"/>
            <rFont val="Tahoma"/>
            <family val="2"/>
          </rPr>
          <t xml:space="preserve">
Previous 250</t>
        </r>
      </text>
    </comment>
    <comment ref="Q49" authorId="0" shapeId="0" xr:uid="{00000000-0006-0000-0C00-000011000000}">
      <text>
        <r>
          <rPr>
            <b/>
            <sz val="9"/>
            <color indexed="81"/>
            <rFont val="Tahoma"/>
            <family val="2"/>
          </rPr>
          <t>User:</t>
        </r>
        <r>
          <rPr>
            <sz val="9"/>
            <color indexed="81"/>
            <rFont val="Tahoma"/>
            <family val="2"/>
          </rPr>
          <t xml:space="preserve">
Previous 2,376</t>
        </r>
      </text>
    </comment>
    <comment ref="Q51" authorId="0" shapeId="0" xr:uid="{00000000-0006-0000-0C00-000012000000}">
      <text>
        <r>
          <rPr>
            <b/>
            <sz val="9"/>
            <color indexed="81"/>
            <rFont val="Tahoma"/>
            <family val="2"/>
          </rPr>
          <t>User:</t>
        </r>
        <r>
          <rPr>
            <sz val="9"/>
            <color indexed="81"/>
            <rFont val="Tahoma"/>
            <family val="2"/>
          </rPr>
          <t xml:space="preserve">
Previous is 8</t>
        </r>
      </text>
    </comment>
    <comment ref="Q52" authorId="0" shapeId="0" xr:uid="{00000000-0006-0000-0C00-000013000000}">
      <text>
        <r>
          <rPr>
            <b/>
            <sz val="9"/>
            <color indexed="81"/>
            <rFont val="Tahoma"/>
            <family val="2"/>
          </rPr>
          <t>User:</t>
        </r>
        <r>
          <rPr>
            <sz val="9"/>
            <color indexed="81"/>
            <rFont val="Tahoma"/>
            <family val="2"/>
          </rPr>
          <t xml:space="preserve">
Previous is 100</t>
        </r>
      </text>
    </comment>
    <comment ref="E57" authorId="0" shapeId="0" xr:uid="{00000000-0006-0000-0C00-000014000000}">
      <text>
        <r>
          <rPr>
            <b/>
            <sz val="9"/>
            <color indexed="81"/>
            <rFont val="Tahoma"/>
            <family val="2"/>
          </rPr>
          <t>User:</t>
        </r>
        <r>
          <rPr>
            <sz val="9"/>
            <color indexed="81"/>
            <rFont val="Tahoma"/>
            <family val="2"/>
          </rPr>
          <t xml:space="preserve">
Noted that the previous mentioned as the sub-indicators are not in PAM but the belows are in PAM, which must be tracking including,
1- Draft of Climate Smart and Gender Responsive Agrib-policy
2- Draft of CSA policy
3- Draft of guidance manual for climate neutrality and adaption for agribusiness operation
4- Draft of IDP strategy for climate friendly agribusiness
5- Draft PPP framework formulated
6- National Standards and policy of biodigester
(Mentioned by Mr. Hoeung Hun)</t>
        </r>
      </text>
    </comment>
    <comment ref="Q65" authorId="0" shapeId="0" xr:uid="{00000000-0006-0000-0C00-000015000000}">
      <text>
        <r>
          <rPr>
            <b/>
            <sz val="9"/>
            <color indexed="81"/>
            <rFont val="Tahoma"/>
            <family val="2"/>
          </rPr>
          <t>User:</t>
        </r>
        <r>
          <rPr>
            <sz val="9"/>
            <color indexed="81"/>
            <rFont val="Tahoma"/>
            <family val="2"/>
          </rPr>
          <t xml:space="preserve">
Previous 15</t>
        </r>
      </text>
    </comment>
    <comment ref="Q71" authorId="0" shapeId="0" xr:uid="{00000000-0006-0000-0C00-000016000000}">
      <text>
        <r>
          <rPr>
            <b/>
            <sz val="9"/>
            <color indexed="81"/>
            <rFont val="Tahoma"/>
            <family val="2"/>
          </rPr>
          <t>User:</t>
        </r>
        <r>
          <rPr>
            <sz val="9"/>
            <color indexed="81"/>
            <rFont val="Tahoma"/>
            <family val="2"/>
          </rPr>
          <t xml:space="preserve">
Previous 5,500</t>
        </r>
      </text>
    </comment>
    <comment ref="E78" authorId="1" shapeId="0" xr:uid="{00000000-0006-0000-0C00-000017000000}">
      <text>
        <r>
          <rPr>
            <b/>
            <sz val="9"/>
            <color indexed="81"/>
            <rFont val="Tahoma"/>
            <family val="2"/>
          </rPr>
          <t>XMG:</t>
        </r>
        <r>
          <rPr>
            <sz val="9"/>
            <color indexed="81"/>
            <rFont val="Tahoma"/>
            <family val="2"/>
          </rPr>
          <t xml:space="preserve">
PAM, p. 47-50
Gender activities/actions,
1.1.1 Involve women and Women Farmers Network
(WFN) representatives actively and meaningfully in each
individual event for all consultations and planning activities related to improvement and climate resiliency of critical infrastructure supported by the project.
- This would mean paying attention to the following
aspects: convenient time, adequate venue, information sharing with visual aids/illustrations, having female facilitators, child supervision arrangements, etc.
</t>
        </r>
      </text>
    </comment>
    <comment ref="E86" authorId="1" shapeId="0" xr:uid="{00000000-0006-0000-0C00-000018000000}">
      <text>
        <r>
          <rPr>
            <b/>
            <sz val="9"/>
            <color indexed="81"/>
            <rFont val="Tahoma"/>
            <family val="2"/>
          </rPr>
          <t xml:space="preserve">XMG:
</t>
        </r>
        <r>
          <rPr>
            <sz val="9"/>
            <color indexed="81"/>
            <rFont val="Tahoma"/>
            <family val="2"/>
          </rPr>
          <t xml:space="preserve">Gender activities/actions,
1.2.1 Ensure women benefit from jobs created by the project related to infrastructure construction/rehabilitation as well as operation and maintenance.
- This would mean that information about such employment opportunities will be communicated through adequate channels to reach out women in the
communities.
- Core labor standards will be complied with (equal pay for work of equal value, no child labor) for all civil works related to the project.
- Other measures that are needed will be taken (e.g. child supervision arrangements even if informal) so that interested women can grasp such opportunities.
</t>
        </r>
      </text>
    </comment>
    <comment ref="E90" authorId="1" shapeId="0" xr:uid="{00000000-0006-0000-0C00-000019000000}">
      <text>
        <r>
          <rPr>
            <b/>
            <sz val="9"/>
            <color indexed="81"/>
            <rFont val="Tahoma"/>
            <family val="2"/>
          </rPr>
          <t>XMG:</t>
        </r>
        <r>
          <rPr>
            <sz val="9"/>
            <color indexed="81"/>
            <rFont val="Tahoma"/>
            <family val="2"/>
          </rPr>
          <t xml:space="preserve">
Gender activities/actions,
1.2.2 Provide skills enhancement for women in infrastructure related construction/rehabilitation (e.g. masonry skills for bio-digesters construction), and operation and maintenance (e.g. small-scale irrigation schemes).</t>
        </r>
      </text>
    </comment>
    <comment ref="E92" authorId="1" shapeId="0" xr:uid="{00000000-0006-0000-0C00-00001A000000}">
      <text>
        <r>
          <rPr>
            <b/>
            <sz val="9"/>
            <color indexed="81"/>
            <rFont val="Tahoma"/>
            <family val="2"/>
          </rPr>
          <t>XMG:</t>
        </r>
        <r>
          <rPr>
            <sz val="9"/>
            <color indexed="81"/>
            <rFont val="Tahoma"/>
            <family val="2"/>
          </rPr>
          <t xml:space="preserve">
Gender activities/actions,
1.3.1 As part of the promotion campaigns about biodigesters and other renewable energy solutions, raise awareness among women and men in the communities about the benefits for value chain improvement/climate change but also for greater gender equality (time saving, drudgery reduction, improved health).
</t>
        </r>
      </text>
    </comment>
    <comment ref="E96" authorId="1" shapeId="0" xr:uid="{00000000-0006-0000-0C00-00001B000000}">
      <text>
        <r>
          <rPr>
            <b/>
            <sz val="9"/>
            <color indexed="81"/>
            <rFont val="Tahoma"/>
            <family val="2"/>
          </rPr>
          <t>XMG:</t>
        </r>
        <r>
          <rPr>
            <sz val="9"/>
            <color indexed="81"/>
            <rFont val="Tahoma"/>
            <family val="2"/>
          </rPr>
          <t xml:space="preserve">
Gender activities/actions,
1.3.2 Involve women as active agents in the promotion campaigns on the use of renewable energy solutions.</t>
        </r>
      </text>
    </comment>
    <comment ref="E101" authorId="1" shapeId="0" xr:uid="{00000000-0006-0000-0C00-00001C000000}">
      <text>
        <r>
          <rPr>
            <b/>
            <sz val="9"/>
            <color indexed="81"/>
            <rFont val="Tahoma"/>
            <family val="2"/>
          </rPr>
          <t>XMG:</t>
        </r>
        <r>
          <rPr>
            <sz val="9"/>
            <color indexed="81"/>
            <rFont val="Tahoma"/>
            <family val="2"/>
          </rPr>
          <t xml:space="preserve">
Gender Activities/Action,
2.1.1 Involve women farmers (and the WFN) actively in the selection and multiplication of climate resilient crops
varieties and build on their local knowledge in this area.</t>
        </r>
      </text>
    </comment>
    <comment ref="E104" authorId="1" shapeId="0" xr:uid="{00000000-0006-0000-0C00-00001D000000}">
      <text>
        <r>
          <rPr>
            <b/>
            <sz val="9"/>
            <color indexed="81"/>
            <rFont val="Tahoma"/>
            <family val="2"/>
          </rPr>
          <t>XMG:</t>
        </r>
        <r>
          <rPr>
            <sz val="9"/>
            <color indexed="81"/>
            <rFont val="Tahoma"/>
            <family val="2"/>
          </rPr>
          <t xml:space="preserve">
Gender Activities/Action,
2.1.2 Involve women farmers and WFN representatives actively and meaningfully in each individual event for all capacity-building activities (trainings, demonstrations, study tours) supported by the project:
(1) agricultural extension and technical capacity-building activities including those related to climate change adaptation and mitigation;
</t>
        </r>
      </text>
    </comment>
    <comment ref="E111" authorId="1" shapeId="0" xr:uid="{00000000-0006-0000-0C00-00001E000000}">
      <text>
        <r>
          <rPr>
            <b/>
            <sz val="9"/>
            <color indexed="81"/>
            <rFont val="Tahoma"/>
            <family val="2"/>
          </rPr>
          <t>XMG:</t>
        </r>
        <r>
          <rPr>
            <sz val="9"/>
            <color indexed="81"/>
            <rFont val="Tahoma"/>
            <family val="2"/>
          </rPr>
          <t xml:space="preserve">
Gender Activities/Action,
2.1.2 Involve women farmers and WFN representatives actively and meaningfully in each individual event for all capacity-building activities (trainings, demonstrations, study tours) supported by the project:
(2) trainings on how to operate and maintain a range of agricultural machinery;
(3), management (including leadership, negotiation) and business skills trainings.
- This would mean paying special attention to the following aspects: adequate venue, timing, duration, way that invitation is being done (not to head of household as is currently being done), use of visual aids and other
illustrated materials, use of female facilitators/demonstrators and extension agents, child care arrangements even if informal, etc.</t>
        </r>
      </text>
    </comment>
    <comment ref="E115" authorId="1" shapeId="0" xr:uid="{00000000-0006-0000-0C00-00001F000000}">
      <text>
        <r>
          <rPr>
            <b/>
            <sz val="9"/>
            <color indexed="81"/>
            <rFont val="Tahoma"/>
            <family val="2"/>
          </rPr>
          <t>XMG:</t>
        </r>
        <r>
          <rPr>
            <sz val="9"/>
            <color indexed="81"/>
            <rFont val="Tahoma"/>
            <family val="2"/>
          </rPr>
          <t xml:space="preserve">
Gender Activities/Actions,
2.1.3 Strengthen linkages between women-led and/or owned farms/enterprises* and agribusiness industry
For support provided to cooperatives: preferential support will be given to agricultural cooperatives with a majority of female members.
.1.4 Work with the WFN to identify context-appropriate ways to address burden of household and care work for women farmers, especially female headed households, which prevents them to increasingly participate and move up along the value chains.
</t>
        </r>
      </text>
    </comment>
    <comment ref="E124" authorId="1" shapeId="0" xr:uid="{00000000-0006-0000-0C00-000020000000}">
      <text>
        <r>
          <rPr>
            <b/>
            <sz val="9"/>
            <color indexed="81"/>
            <rFont val="Tahoma"/>
            <family val="2"/>
          </rPr>
          <t>XMG:</t>
        </r>
        <r>
          <rPr>
            <sz val="9"/>
            <color indexed="81"/>
            <rFont val="Tahoma"/>
            <family val="2"/>
          </rPr>
          <t xml:space="preserve">
Gender Activities/Actions,
3.1.1 At project inception, refine the gender analysis for each of the 4 targeted value chains and develop a set of clear policy and program recommendations to strengthen women farmers’ involvement along the different value chains. Ensure that capacity is built within MAFF/ Gender &amp; Children Project Support Unit (GCPSU) for gender responsive value chain analysis and develop methodology/guidelines that can be used in future analysis.
</t>
        </r>
      </text>
    </comment>
    <comment ref="E125" authorId="1" shapeId="0" xr:uid="{00000000-0006-0000-0C00-000021000000}">
      <text>
        <r>
          <rPr>
            <b/>
            <sz val="9"/>
            <color indexed="81"/>
            <rFont val="Tahoma"/>
            <family val="2"/>
          </rPr>
          <t>XMG:</t>
        </r>
        <r>
          <rPr>
            <sz val="9"/>
            <color indexed="81"/>
            <rFont val="Tahoma"/>
            <family val="2"/>
          </rPr>
          <t xml:space="preserve">
Gender Activities/Actions,
3.1.2 Integrate key recommendations from the above- mentioned gender analysis of value chains and key features of the MAFF Gender Policy into the Agribusiness policy and other related documents prepared under the project.
- This would also mean that gender stakeholders (MAFF GCPSU representatives, gender focal points, and WFN) participate in policy committees and meetings.
</t>
        </r>
      </text>
    </comment>
    <comment ref="E126" authorId="1" shapeId="0" xr:uid="{00000000-0006-0000-0C00-000022000000}">
      <text>
        <r>
          <rPr>
            <b/>
            <sz val="9"/>
            <color indexed="81"/>
            <rFont val="Tahoma"/>
            <family val="2"/>
          </rPr>
          <t>XMG:</t>
        </r>
        <r>
          <rPr>
            <sz val="9"/>
            <color indexed="81"/>
            <rFont val="Tahoma"/>
            <family val="2"/>
          </rPr>
          <t xml:space="preserve">
Gender Activities/Actions,
3.1.3 Integrate a session on gender equality in climate- friendly agribusiness value chains (based on gender analysis report mentioned above) into the training and awareness raising activities for relevant project stakeholders (i.e. relevant departments in MAFF, agricultural extension agents, local leaders and government officials, GCPSU and Gender Focal Points, and WFN).</t>
        </r>
      </text>
    </comment>
    <comment ref="E129" authorId="1" shapeId="0" xr:uid="{00000000-0006-0000-0C00-000023000000}">
      <text>
        <r>
          <rPr>
            <b/>
            <sz val="9"/>
            <color indexed="81"/>
            <rFont val="Tahoma"/>
            <family val="2"/>
          </rPr>
          <t>XMG:</t>
        </r>
        <r>
          <rPr>
            <sz val="9"/>
            <color indexed="81"/>
            <rFont val="Tahoma"/>
            <family val="2"/>
          </rPr>
          <t xml:space="preserve">
Gender Activities/Actions,
3.1.4 Actively involve the MAFF GCPSU, the sub-national Gender Focal Points (Province, District, Commune), and the WFN and the Agricultural Cooperatives as key partners in project implementation and monitoring, especially for the GAP activities.
- This also entails partnering with the WFN as facilitators/resource persons for agricultural extension and technical capacity-building, awareness-raising and information sharing targeted at farmers including provision of market information.
- WFN social media pages should be used as one of the ways to disseminate information to women farmers.
</t>
        </r>
      </text>
    </comment>
    <comment ref="E131" authorId="1" shapeId="0" xr:uid="{00000000-0006-0000-0C00-000024000000}">
      <text>
        <r>
          <rPr>
            <b/>
            <sz val="9"/>
            <color indexed="81"/>
            <rFont val="Tahoma"/>
            <family val="2"/>
          </rPr>
          <t>XMG:</t>
        </r>
        <r>
          <rPr>
            <sz val="9"/>
            <color indexed="81"/>
            <rFont val="Tahoma"/>
            <family val="2"/>
          </rPr>
          <t xml:space="preserve">
Gender Activities/Actions,
3.2.1 Raise awareness among women farmers/ cooperative members, women-led and/or owned enterprises, and female staff in financial institutions using adequate channels about existing credit facilities, green financing including crop insurance and required formalities to access these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XMG</author>
  </authors>
  <commentList>
    <comment ref="D7" authorId="0" shapeId="0" xr:uid="{00000000-0006-0000-0D00-000001000000}">
      <text>
        <r>
          <rPr>
            <b/>
            <sz val="9"/>
            <color indexed="81"/>
            <rFont val="Tahoma"/>
            <family val="2"/>
          </rPr>
          <t>User:</t>
        </r>
        <r>
          <rPr>
            <sz val="9"/>
            <color indexed="81"/>
            <rFont val="Tahoma"/>
            <family val="2"/>
          </rPr>
          <t xml:space="preserve">
Several individual meetings with Mr. Vanarath - Head of DoP office/MAFF, and Mr. Mak Many - Head of DoP/MAFF, there is neither  indicators codes related, nor database system.</t>
        </r>
      </text>
    </comment>
    <comment ref="Y8" authorId="0" shapeId="0" xr:uid="{00000000-0006-0000-0D00-000002000000}">
      <text>
        <r>
          <rPr>
            <b/>
            <sz val="9"/>
            <color indexed="81"/>
            <rFont val="Tahoma"/>
            <family val="2"/>
          </rPr>
          <t>User:</t>
        </r>
        <r>
          <rPr>
            <sz val="9"/>
            <color indexed="81"/>
            <rFont val="Tahoma"/>
            <family val="2"/>
          </rPr>
          <t xml:space="preserve">
Linked from DMF sheet of Physical Progress.</t>
        </r>
      </text>
    </comment>
    <comment ref="AI8" authorId="0" shapeId="0" xr:uid="{00000000-0006-0000-0D00-000003000000}">
      <text>
        <r>
          <rPr>
            <b/>
            <sz val="9"/>
            <color indexed="81"/>
            <rFont val="Tahoma"/>
            <family val="2"/>
          </rPr>
          <t>User:</t>
        </r>
        <r>
          <rPr>
            <sz val="9"/>
            <color indexed="81"/>
            <rFont val="Tahoma"/>
            <family val="2"/>
          </rPr>
          <t xml:space="preserve">
Linked from DMF sheet of Physical Progress.</t>
        </r>
      </text>
    </comment>
    <comment ref="AB9" authorId="0" shapeId="0" xr:uid="{00000000-0006-0000-0D00-000004000000}">
      <text>
        <r>
          <rPr>
            <b/>
            <sz val="9"/>
            <color indexed="81"/>
            <rFont val="Tahoma"/>
            <family val="2"/>
          </rPr>
          <t>User:</t>
        </r>
        <r>
          <rPr>
            <sz val="9"/>
            <color indexed="81"/>
            <rFont val="Tahoma"/>
            <family val="2"/>
          </rPr>
          <t xml:space="preserve">
Linked from DMF sheet of Physical Progress.</t>
        </r>
      </text>
    </comment>
    <comment ref="E10" authorId="1" shapeId="0" xr:uid="{00000000-0006-0000-0D00-000005000000}">
      <text>
        <r>
          <rPr>
            <b/>
            <sz val="9"/>
            <color indexed="81"/>
            <rFont val="Tahoma"/>
            <family val="2"/>
          </rPr>
          <t>XMG:</t>
        </r>
        <r>
          <rPr>
            <sz val="9"/>
            <color indexed="81"/>
            <rFont val="Tahoma"/>
            <family val="2"/>
          </rPr>
          <t xml:space="preserve">
PAM, p. 52, 53.</t>
        </r>
      </text>
    </comment>
    <comment ref="Q23" authorId="0" shapeId="0" xr:uid="{00000000-0006-0000-0D00-000006000000}">
      <text>
        <r>
          <rPr>
            <b/>
            <sz val="9"/>
            <color indexed="81"/>
            <rFont val="Tahoma"/>
            <family val="2"/>
          </rPr>
          <t>User:</t>
        </r>
        <r>
          <rPr>
            <sz val="9"/>
            <color indexed="81"/>
            <rFont val="Tahoma"/>
            <family val="2"/>
          </rPr>
          <t xml:space="preserve">
Take 1 out is Ko Eurt Irrigation system in Batheay district, KPC, with reason due to PDoWRAM is repairing under the MoWRAM budget. </t>
        </r>
      </text>
    </comment>
    <comment ref="Q33" authorId="0" shapeId="0" xr:uid="{00000000-0006-0000-0D00-000007000000}">
      <text>
        <r>
          <rPr>
            <b/>
            <sz val="9"/>
            <color indexed="81"/>
            <rFont val="Tahoma"/>
            <family val="2"/>
          </rPr>
          <t>User:</t>
        </r>
        <r>
          <rPr>
            <sz val="9"/>
            <color indexed="81"/>
            <rFont val="Tahoma"/>
            <family val="2"/>
          </rPr>
          <t xml:space="preserve">
Previous 2,500</t>
        </r>
      </text>
    </comment>
    <comment ref="Q35" authorId="0" shapeId="0" xr:uid="{00000000-0006-0000-0D00-000008000000}">
      <text>
        <r>
          <rPr>
            <b/>
            <sz val="9"/>
            <color indexed="81"/>
            <rFont val="Tahoma"/>
            <family val="2"/>
          </rPr>
          <t>User:</t>
        </r>
        <r>
          <rPr>
            <sz val="9"/>
            <color indexed="81"/>
            <rFont val="Tahoma"/>
            <family val="2"/>
          </rPr>
          <t xml:space="preserve">
Previous 1250</t>
        </r>
      </text>
    </comment>
    <comment ref="Q36" authorId="0" shapeId="0" xr:uid="{00000000-0006-0000-0D00-000009000000}">
      <text>
        <r>
          <rPr>
            <b/>
            <sz val="9"/>
            <color indexed="81"/>
            <rFont val="Tahoma"/>
            <family val="2"/>
          </rPr>
          <t>User:</t>
        </r>
        <r>
          <rPr>
            <sz val="9"/>
            <color indexed="81"/>
            <rFont val="Tahoma"/>
            <family val="2"/>
          </rPr>
          <t xml:space="preserve">
Previous 2,083</t>
        </r>
      </text>
    </comment>
    <comment ref="Q37" authorId="0" shapeId="0" xr:uid="{00000000-0006-0000-0D00-00000A000000}">
      <text>
        <r>
          <rPr>
            <b/>
            <sz val="9"/>
            <color indexed="81"/>
            <rFont val="Tahoma"/>
            <family val="2"/>
          </rPr>
          <t>User:</t>
        </r>
        <r>
          <rPr>
            <sz val="9"/>
            <color indexed="81"/>
            <rFont val="Tahoma"/>
            <family val="2"/>
          </rPr>
          <t xml:space="preserve">
Previous 5000</t>
        </r>
      </text>
    </comment>
    <comment ref="L42" authorId="0" shapeId="0" xr:uid="{00000000-0006-0000-0D00-00000B000000}">
      <text>
        <r>
          <rPr>
            <b/>
            <sz val="9"/>
            <color indexed="81"/>
            <rFont val="Tahoma"/>
            <family val="2"/>
          </rPr>
          <t>User:</t>
        </r>
        <r>
          <rPr>
            <sz val="9"/>
            <color indexed="81"/>
            <rFont val="Tahoma"/>
            <family val="2"/>
          </rPr>
          <t xml:space="preserve">
Planned in 2021,
- 90 demos for rice 
- 10 demos for cassava
- 30 Field days </t>
        </r>
      </text>
    </comment>
    <comment ref="Q44" authorId="0" shapeId="0" xr:uid="{00000000-0006-0000-0D00-00000C000000}">
      <text>
        <r>
          <rPr>
            <b/>
            <sz val="9"/>
            <color indexed="81"/>
            <rFont val="Tahoma"/>
            <family val="2"/>
          </rPr>
          <t>User:</t>
        </r>
        <r>
          <rPr>
            <sz val="9"/>
            <color indexed="81"/>
            <rFont val="Tahoma"/>
            <family val="2"/>
          </rPr>
          <t xml:space="preserve">
Previous10,000</t>
        </r>
      </text>
    </comment>
    <comment ref="Q45" authorId="0" shapeId="0" xr:uid="{00000000-0006-0000-0D00-00000D000000}">
      <text>
        <r>
          <rPr>
            <b/>
            <sz val="9"/>
            <color indexed="81"/>
            <rFont val="Tahoma"/>
            <family val="2"/>
          </rPr>
          <t>User:</t>
        </r>
        <r>
          <rPr>
            <sz val="9"/>
            <color indexed="81"/>
            <rFont val="Tahoma"/>
            <family val="2"/>
          </rPr>
          <t xml:space="preserve">
Previous 5,000</t>
        </r>
      </text>
    </comment>
    <comment ref="Q46" authorId="0" shapeId="0" xr:uid="{00000000-0006-0000-0D00-00000E000000}">
      <text>
        <r>
          <rPr>
            <b/>
            <sz val="9"/>
            <color indexed="81"/>
            <rFont val="Tahoma"/>
            <family val="2"/>
          </rPr>
          <t>User:</t>
        </r>
        <r>
          <rPr>
            <sz val="9"/>
            <color indexed="81"/>
            <rFont val="Tahoma"/>
            <family val="2"/>
          </rPr>
          <t xml:space="preserve">
Previous 4938</t>
        </r>
      </text>
    </comment>
    <comment ref="Q47" authorId="0" shapeId="0" xr:uid="{00000000-0006-0000-0D00-00000F000000}">
      <text>
        <r>
          <rPr>
            <b/>
            <sz val="9"/>
            <color indexed="81"/>
            <rFont val="Tahoma"/>
            <family val="2"/>
          </rPr>
          <t>User:</t>
        </r>
        <r>
          <rPr>
            <sz val="9"/>
            <color indexed="81"/>
            <rFont val="Tahoma"/>
            <family val="2"/>
          </rPr>
          <t xml:space="preserve">
Previous 4,781</t>
        </r>
      </text>
    </comment>
    <comment ref="Q48" authorId="0" shapeId="0" xr:uid="{00000000-0006-0000-0D00-000010000000}">
      <text>
        <r>
          <rPr>
            <b/>
            <sz val="9"/>
            <color indexed="81"/>
            <rFont val="Tahoma"/>
            <family val="2"/>
          </rPr>
          <t>User:</t>
        </r>
        <r>
          <rPr>
            <sz val="9"/>
            <color indexed="81"/>
            <rFont val="Tahoma"/>
            <family val="2"/>
          </rPr>
          <t xml:space="preserve">
Previous 250</t>
        </r>
      </text>
    </comment>
    <comment ref="Q49" authorId="0" shapeId="0" xr:uid="{00000000-0006-0000-0D00-000011000000}">
      <text>
        <r>
          <rPr>
            <b/>
            <sz val="9"/>
            <color indexed="81"/>
            <rFont val="Tahoma"/>
            <family val="2"/>
          </rPr>
          <t>User:</t>
        </r>
        <r>
          <rPr>
            <sz val="9"/>
            <color indexed="81"/>
            <rFont val="Tahoma"/>
            <family val="2"/>
          </rPr>
          <t xml:space="preserve">
Previous 2,376</t>
        </r>
      </text>
    </comment>
    <comment ref="Q51" authorId="0" shapeId="0" xr:uid="{00000000-0006-0000-0D00-000012000000}">
      <text>
        <r>
          <rPr>
            <b/>
            <sz val="9"/>
            <color indexed="81"/>
            <rFont val="Tahoma"/>
            <family val="2"/>
          </rPr>
          <t>User:</t>
        </r>
        <r>
          <rPr>
            <sz val="9"/>
            <color indexed="81"/>
            <rFont val="Tahoma"/>
            <family val="2"/>
          </rPr>
          <t xml:space="preserve">
Previous is 8</t>
        </r>
      </text>
    </comment>
    <comment ref="Q52" authorId="0" shapeId="0" xr:uid="{00000000-0006-0000-0D00-000013000000}">
      <text>
        <r>
          <rPr>
            <b/>
            <sz val="9"/>
            <color indexed="81"/>
            <rFont val="Tahoma"/>
            <family val="2"/>
          </rPr>
          <t>User:</t>
        </r>
        <r>
          <rPr>
            <sz val="9"/>
            <color indexed="81"/>
            <rFont val="Tahoma"/>
            <family val="2"/>
          </rPr>
          <t xml:space="preserve">
Previous is 100</t>
        </r>
      </text>
    </comment>
    <comment ref="E57" authorId="0" shapeId="0" xr:uid="{00000000-0006-0000-0D00-000014000000}">
      <text>
        <r>
          <rPr>
            <b/>
            <sz val="9"/>
            <color indexed="81"/>
            <rFont val="Tahoma"/>
            <family val="2"/>
          </rPr>
          <t>User:</t>
        </r>
        <r>
          <rPr>
            <sz val="9"/>
            <color indexed="81"/>
            <rFont val="Tahoma"/>
            <family val="2"/>
          </rPr>
          <t xml:space="preserve">
Noted that the previous mentioned as the sub-indicators are not in PAM but the belows are in PAM, which must be tracking including,
1- Draft of Climate Smart and Gender Responsive Agrib-policy
2- Draft of CSA policy
3- Draft of guidance manual for climate neutrality and adaption for agribusiness operation
4- Draft of IDP strategy for climate friendly agribusiness
5- Draft PPP framework formulated
6- National Standards and policy of biodigester
(Mentioned by Mr. Hoeung Hun)</t>
        </r>
      </text>
    </comment>
    <comment ref="Q65" authorId="0" shapeId="0" xr:uid="{00000000-0006-0000-0D00-000015000000}">
      <text>
        <r>
          <rPr>
            <b/>
            <sz val="9"/>
            <color indexed="81"/>
            <rFont val="Tahoma"/>
            <family val="2"/>
          </rPr>
          <t>User:</t>
        </r>
        <r>
          <rPr>
            <sz val="9"/>
            <color indexed="81"/>
            <rFont val="Tahoma"/>
            <family val="2"/>
          </rPr>
          <t xml:space="preserve">
Previous 15</t>
        </r>
      </text>
    </comment>
    <comment ref="Q71" authorId="0" shapeId="0" xr:uid="{00000000-0006-0000-0D00-000016000000}">
      <text>
        <r>
          <rPr>
            <b/>
            <sz val="9"/>
            <color indexed="81"/>
            <rFont val="Tahoma"/>
            <family val="2"/>
          </rPr>
          <t>User:</t>
        </r>
        <r>
          <rPr>
            <sz val="9"/>
            <color indexed="81"/>
            <rFont val="Tahoma"/>
            <family val="2"/>
          </rPr>
          <t xml:space="preserve">
Previous 5,500</t>
        </r>
      </text>
    </comment>
    <comment ref="E78" authorId="1" shapeId="0" xr:uid="{00000000-0006-0000-0D00-000017000000}">
      <text>
        <r>
          <rPr>
            <b/>
            <sz val="9"/>
            <color indexed="81"/>
            <rFont val="Tahoma"/>
            <family val="2"/>
          </rPr>
          <t>XMG:</t>
        </r>
        <r>
          <rPr>
            <sz val="9"/>
            <color indexed="81"/>
            <rFont val="Tahoma"/>
            <family val="2"/>
          </rPr>
          <t xml:space="preserve">
PAM, p. 47-50
Gender activities/actions,
1.1.1 Involve women and Women Farmers Network
(WFN) representatives actively and meaningfully in each
individual event for all consultations and planning activities related to improvement and climate resiliency of critical infrastructure supported by the project.
- This would mean paying attention to the following
aspects: convenient time, adequate venue, information sharing with visual aids/illustrations, having female facilitators, child supervision arrangements, etc.
</t>
        </r>
      </text>
    </comment>
    <comment ref="E86" authorId="1" shapeId="0" xr:uid="{00000000-0006-0000-0D00-000018000000}">
      <text>
        <r>
          <rPr>
            <b/>
            <sz val="9"/>
            <color indexed="81"/>
            <rFont val="Tahoma"/>
            <family val="2"/>
          </rPr>
          <t xml:space="preserve">XMG:
</t>
        </r>
        <r>
          <rPr>
            <sz val="9"/>
            <color indexed="81"/>
            <rFont val="Tahoma"/>
            <family val="2"/>
          </rPr>
          <t xml:space="preserve">Gender activities/actions,
1.2.1 Ensure women benefit from jobs created by the project related to infrastructure construction/rehabilitation as well as operation and maintenance.
- This would mean that information about such employment opportunities will be communicated through adequate channels to reach out women in the
communities.
- Core labor standards will be complied with (equal pay for work of equal value, no child labor) for all civil works related to the project.
- Other measures that are needed will be taken (e.g. child supervision arrangements even if informal) so that interested women can grasp such opportunities.
</t>
        </r>
      </text>
    </comment>
    <comment ref="E90" authorId="1" shapeId="0" xr:uid="{00000000-0006-0000-0D00-000019000000}">
      <text>
        <r>
          <rPr>
            <b/>
            <sz val="9"/>
            <color indexed="81"/>
            <rFont val="Tahoma"/>
            <family val="2"/>
          </rPr>
          <t>XMG:</t>
        </r>
        <r>
          <rPr>
            <sz val="9"/>
            <color indexed="81"/>
            <rFont val="Tahoma"/>
            <family val="2"/>
          </rPr>
          <t xml:space="preserve">
Gender activities/actions,
1.2.2 Provide skills enhancement for women in infrastructure related construction/rehabilitation (e.g. masonry skills for bio-digesters construction), and operation and maintenance (e.g. small-scale irrigation schemes).</t>
        </r>
      </text>
    </comment>
    <comment ref="E92" authorId="1" shapeId="0" xr:uid="{00000000-0006-0000-0D00-00001A000000}">
      <text>
        <r>
          <rPr>
            <b/>
            <sz val="9"/>
            <color indexed="81"/>
            <rFont val="Tahoma"/>
            <family val="2"/>
          </rPr>
          <t>XMG:</t>
        </r>
        <r>
          <rPr>
            <sz val="9"/>
            <color indexed="81"/>
            <rFont val="Tahoma"/>
            <family val="2"/>
          </rPr>
          <t xml:space="preserve">
Gender activities/actions,
1.3.1 As part of the promotion campaigns about biodigesters and other renewable energy solutions, raise awareness among women and men in the communities about the benefits for value chain improvement/climate change but also for greater gender equality (time saving, drudgery reduction, improved health).
</t>
        </r>
      </text>
    </comment>
    <comment ref="E96" authorId="1" shapeId="0" xr:uid="{00000000-0006-0000-0D00-00001B000000}">
      <text>
        <r>
          <rPr>
            <b/>
            <sz val="9"/>
            <color indexed="81"/>
            <rFont val="Tahoma"/>
            <family val="2"/>
          </rPr>
          <t>XMG:</t>
        </r>
        <r>
          <rPr>
            <sz val="9"/>
            <color indexed="81"/>
            <rFont val="Tahoma"/>
            <family val="2"/>
          </rPr>
          <t xml:space="preserve">
Gender activities/actions,
1.3.2 Involve women as active agents in the promotion campaigns on the use of renewable energy solutions.</t>
        </r>
      </text>
    </comment>
    <comment ref="E101" authorId="1" shapeId="0" xr:uid="{00000000-0006-0000-0D00-00001C000000}">
      <text>
        <r>
          <rPr>
            <b/>
            <sz val="9"/>
            <color indexed="81"/>
            <rFont val="Tahoma"/>
            <family val="2"/>
          </rPr>
          <t>XMG:</t>
        </r>
        <r>
          <rPr>
            <sz val="9"/>
            <color indexed="81"/>
            <rFont val="Tahoma"/>
            <family val="2"/>
          </rPr>
          <t xml:space="preserve">
Gender Activities/Action,
2.1.1 Involve women farmers (and the WFN) actively in the selection and multiplication of climate resilient crops
varieties and build on their local knowledge in this area.</t>
        </r>
      </text>
    </comment>
    <comment ref="E104" authorId="1" shapeId="0" xr:uid="{00000000-0006-0000-0D00-00001D000000}">
      <text>
        <r>
          <rPr>
            <b/>
            <sz val="9"/>
            <color indexed="81"/>
            <rFont val="Tahoma"/>
            <family val="2"/>
          </rPr>
          <t>XMG:</t>
        </r>
        <r>
          <rPr>
            <sz val="9"/>
            <color indexed="81"/>
            <rFont val="Tahoma"/>
            <family val="2"/>
          </rPr>
          <t xml:space="preserve">
Gender Activities/Action,
2.1.2 Involve women farmers and WFN representatives actively and meaningfully in each individual event for all capacity-building activities (trainings, demonstrations, study tours) supported by the project:
(1) agricultural extension and technical capacity-building activities including those related to climate change adaptation and mitigation;
</t>
        </r>
      </text>
    </comment>
    <comment ref="E111" authorId="1" shapeId="0" xr:uid="{00000000-0006-0000-0D00-00001E000000}">
      <text>
        <r>
          <rPr>
            <b/>
            <sz val="9"/>
            <color indexed="81"/>
            <rFont val="Tahoma"/>
            <family val="2"/>
          </rPr>
          <t>XMG:</t>
        </r>
        <r>
          <rPr>
            <sz val="9"/>
            <color indexed="81"/>
            <rFont val="Tahoma"/>
            <family val="2"/>
          </rPr>
          <t xml:space="preserve">
Gender Activities/Action,
2.1.2 Involve women farmers and WFN representatives actively and meaningfully in each individual event for all capacity-building activities (trainings, demonstrations, study tours) supported by the project:
(2) trainings on how to operate and maintain a range of agricultural machinery;
(3), management (including leadership, negotiation) and business skills trainings.
- This would mean paying special attention to the following aspects: adequate venue, timing, duration, way that invitation is being done (not to head of household as is currently being done), use of visual aids and other
illustrated materials, use of female facilitators/demonstrators and extension agents, child care arrangements even if informal, etc.</t>
        </r>
      </text>
    </comment>
    <comment ref="E115" authorId="1" shapeId="0" xr:uid="{00000000-0006-0000-0D00-00001F000000}">
      <text>
        <r>
          <rPr>
            <b/>
            <sz val="9"/>
            <color indexed="81"/>
            <rFont val="Tahoma"/>
            <family val="2"/>
          </rPr>
          <t>XMG:</t>
        </r>
        <r>
          <rPr>
            <sz val="9"/>
            <color indexed="81"/>
            <rFont val="Tahoma"/>
            <family val="2"/>
          </rPr>
          <t xml:space="preserve">
Gender Activities/Actions,
2.1.3 Strengthen linkages between women-led and/or owned farms/enterprises* and agribusiness industry
For support provided to cooperatives: preferential support will be given to agricultural cooperatives with a majority of female members.
.1.4 Work with the WFN to identify context-appropriate ways to address burden of household and care work for women farmers, especially female headed households, which prevents them to increasingly participate and move up along the value chains.
</t>
        </r>
      </text>
    </comment>
    <comment ref="E124" authorId="1" shapeId="0" xr:uid="{00000000-0006-0000-0D00-000020000000}">
      <text>
        <r>
          <rPr>
            <b/>
            <sz val="9"/>
            <color indexed="81"/>
            <rFont val="Tahoma"/>
            <family val="2"/>
          </rPr>
          <t>XMG:</t>
        </r>
        <r>
          <rPr>
            <sz val="9"/>
            <color indexed="81"/>
            <rFont val="Tahoma"/>
            <family val="2"/>
          </rPr>
          <t xml:space="preserve">
Gender Activities/Actions,
3.1.1 At project inception, refine the gender analysis for each of the 4 targeted value chains and develop a set of clear policy and program recommendations to strengthen women farmers’ involvement along the different value chains. Ensure that capacity is built within MAFF/ Gender &amp; Children Project Support Unit (GCPSU) for gender responsive value chain analysis and develop methodology/guidelines that can be used in future analysis.
</t>
        </r>
      </text>
    </comment>
    <comment ref="E125" authorId="1" shapeId="0" xr:uid="{00000000-0006-0000-0D00-000021000000}">
      <text>
        <r>
          <rPr>
            <b/>
            <sz val="9"/>
            <color indexed="81"/>
            <rFont val="Tahoma"/>
            <family val="2"/>
          </rPr>
          <t>XMG:</t>
        </r>
        <r>
          <rPr>
            <sz val="9"/>
            <color indexed="81"/>
            <rFont val="Tahoma"/>
            <family val="2"/>
          </rPr>
          <t xml:space="preserve">
Gender Activities/Actions,
3.1.2 Integrate key recommendations from the above- mentioned gender analysis of value chains and key features of the MAFF Gender Policy into the Agribusiness policy and other related documents prepared under the project.
- This would also mean that gender stakeholders (MAFF GCPSU representatives, gender focal points, and WFN) participate in policy committees and meetings.
</t>
        </r>
      </text>
    </comment>
    <comment ref="E126" authorId="1" shapeId="0" xr:uid="{00000000-0006-0000-0D00-000022000000}">
      <text>
        <r>
          <rPr>
            <b/>
            <sz val="9"/>
            <color indexed="81"/>
            <rFont val="Tahoma"/>
            <family val="2"/>
          </rPr>
          <t>XMG:</t>
        </r>
        <r>
          <rPr>
            <sz val="9"/>
            <color indexed="81"/>
            <rFont val="Tahoma"/>
            <family val="2"/>
          </rPr>
          <t xml:space="preserve">
Gender Activities/Actions,
3.1.3 Integrate a session on gender equality in climate- friendly agribusiness value chains (based on gender analysis report mentioned above) into the training and awareness raising activities for relevant project stakeholders (i.e. relevant departments in MAFF, agricultural extension agents, local leaders and government officials, GCPSU and Gender Focal Points, and WFN).</t>
        </r>
      </text>
    </comment>
    <comment ref="E129" authorId="1" shapeId="0" xr:uid="{00000000-0006-0000-0D00-000023000000}">
      <text>
        <r>
          <rPr>
            <b/>
            <sz val="9"/>
            <color indexed="81"/>
            <rFont val="Tahoma"/>
            <family val="2"/>
          </rPr>
          <t>XMG:</t>
        </r>
        <r>
          <rPr>
            <sz val="9"/>
            <color indexed="81"/>
            <rFont val="Tahoma"/>
            <family val="2"/>
          </rPr>
          <t xml:space="preserve">
Gender Activities/Actions,
3.1.4 Actively involve the MAFF GCPSU, the sub-national Gender Focal Points (Province, District, Commune), and the WFN and the Agricultural Cooperatives as key partners in project implementation and monitoring, especially for the GAP activities.
- This also entails partnering with the WFN as facilitators/resource persons for agricultural extension and technical capacity-building, awareness-raising and information sharing targeted at farmers including provision of market information.
- WFN social media pages should be used as one of the ways to disseminate information to women farmers.
</t>
        </r>
      </text>
    </comment>
    <comment ref="E131" authorId="1" shapeId="0" xr:uid="{00000000-0006-0000-0D00-000024000000}">
      <text>
        <r>
          <rPr>
            <b/>
            <sz val="9"/>
            <color indexed="81"/>
            <rFont val="Tahoma"/>
            <family val="2"/>
          </rPr>
          <t>XMG:</t>
        </r>
        <r>
          <rPr>
            <sz val="9"/>
            <color indexed="81"/>
            <rFont val="Tahoma"/>
            <family val="2"/>
          </rPr>
          <t xml:space="preserve">
Gender Activities/Actions,
3.2.1 Raise awareness among women farmers/ cooperative members, women-led and/or owned enterprises, and female staff in financial institutions using adequate channels about existing credit facilities, green financing including crop insurance and required formalities to access these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XMG</author>
  </authors>
  <commentList>
    <comment ref="D7" authorId="0" shapeId="0" xr:uid="{00000000-0006-0000-0E00-000001000000}">
      <text>
        <r>
          <rPr>
            <b/>
            <sz val="9"/>
            <color indexed="81"/>
            <rFont val="Tahoma"/>
            <family val="2"/>
          </rPr>
          <t>User:</t>
        </r>
        <r>
          <rPr>
            <sz val="9"/>
            <color indexed="81"/>
            <rFont val="Tahoma"/>
            <family val="2"/>
          </rPr>
          <t xml:space="preserve">
Several individual meetings with Mr. Vanarath - Head of DoP office/MAFF, and Mr. Mak Many - Head of DoP/MAFF, there is neither  indicators codes related, nor database system.</t>
        </r>
      </text>
    </comment>
    <comment ref="Y8" authorId="0" shapeId="0" xr:uid="{00000000-0006-0000-0E00-000002000000}">
      <text>
        <r>
          <rPr>
            <b/>
            <sz val="9"/>
            <color indexed="81"/>
            <rFont val="Tahoma"/>
            <family val="2"/>
          </rPr>
          <t>User:</t>
        </r>
        <r>
          <rPr>
            <sz val="9"/>
            <color indexed="81"/>
            <rFont val="Tahoma"/>
            <family val="2"/>
          </rPr>
          <t xml:space="preserve">
Linked from DMF sheet of Physical Progress.</t>
        </r>
      </text>
    </comment>
    <comment ref="AB8" authorId="0" shapeId="0" xr:uid="{00000000-0006-0000-0E00-000003000000}">
      <text>
        <r>
          <rPr>
            <b/>
            <sz val="9"/>
            <color indexed="81"/>
            <rFont val="Tahoma"/>
            <family val="2"/>
          </rPr>
          <t>User:</t>
        </r>
        <r>
          <rPr>
            <sz val="9"/>
            <color indexed="81"/>
            <rFont val="Tahoma"/>
            <family val="2"/>
          </rPr>
          <t xml:space="preserve">
Linked from DMF sheet of Physical Progress.</t>
        </r>
      </text>
    </comment>
    <comment ref="AF8" authorId="0" shapeId="0" xr:uid="{00000000-0006-0000-0E00-000004000000}">
      <text>
        <r>
          <rPr>
            <b/>
            <sz val="9"/>
            <color indexed="81"/>
            <rFont val="Tahoma"/>
            <family val="2"/>
          </rPr>
          <t>User:</t>
        </r>
        <r>
          <rPr>
            <sz val="9"/>
            <color indexed="81"/>
            <rFont val="Tahoma"/>
            <family val="2"/>
          </rPr>
          <t xml:space="preserve">
Linked from DMF sheet of Physical Progress.</t>
        </r>
      </text>
    </comment>
    <comment ref="E10" authorId="1" shapeId="0" xr:uid="{00000000-0006-0000-0E00-000005000000}">
      <text>
        <r>
          <rPr>
            <b/>
            <sz val="9"/>
            <color indexed="81"/>
            <rFont val="Tahoma"/>
            <family val="2"/>
          </rPr>
          <t>XMG:</t>
        </r>
        <r>
          <rPr>
            <sz val="9"/>
            <color indexed="81"/>
            <rFont val="Tahoma"/>
            <family val="2"/>
          </rPr>
          <t xml:space="preserve">
PAM, p. 52, 53.</t>
        </r>
      </text>
    </comment>
    <comment ref="Q23" authorId="0" shapeId="0" xr:uid="{00000000-0006-0000-0E00-000006000000}">
      <text>
        <r>
          <rPr>
            <b/>
            <sz val="9"/>
            <color indexed="81"/>
            <rFont val="Tahoma"/>
            <family val="2"/>
          </rPr>
          <t>User:</t>
        </r>
        <r>
          <rPr>
            <sz val="9"/>
            <color indexed="81"/>
            <rFont val="Tahoma"/>
            <family val="2"/>
          </rPr>
          <t xml:space="preserve">
Take 1 out is Ko Eurt Irrigation system in Batheay district, KPC, with reason due to PDoWRAM is repairing under the MoWRAM budget. </t>
        </r>
      </text>
    </comment>
    <comment ref="E80" authorId="1" shapeId="0" xr:uid="{00000000-0006-0000-0E00-000007000000}">
      <text>
        <r>
          <rPr>
            <b/>
            <sz val="9"/>
            <color indexed="81"/>
            <rFont val="Tahoma"/>
            <family val="2"/>
          </rPr>
          <t>XMG:</t>
        </r>
        <r>
          <rPr>
            <sz val="9"/>
            <color indexed="81"/>
            <rFont val="Tahoma"/>
            <family val="2"/>
          </rPr>
          <t xml:space="preserve">
PAM, p. 47-50
Gender activities/actions,
1.1.1 Involve women and Women Farmers Network
(WFN) representatives actively and meaningfully in each
individual event for all consultations and planning activities related to improvement and climate resiliency of critical infrastructure supported by the project.
- This would mean paying attention to the following
aspects: convenient time, adequate venue, information sharing with visual aids/illustrations, having female facilitators, child supervision arrangements, etc.
</t>
        </r>
      </text>
    </comment>
    <comment ref="E88" authorId="1" shapeId="0" xr:uid="{00000000-0006-0000-0E00-000008000000}">
      <text>
        <r>
          <rPr>
            <b/>
            <sz val="9"/>
            <color indexed="81"/>
            <rFont val="Tahoma"/>
            <family val="2"/>
          </rPr>
          <t xml:space="preserve">XMG:
</t>
        </r>
        <r>
          <rPr>
            <sz val="9"/>
            <color indexed="81"/>
            <rFont val="Tahoma"/>
            <family val="2"/>
          </rPr>
          <t xml:space="preserve">Gender activities/actions,
1.2.1 Ensure women benefit from jobs created by the project related to infrastructure construction/rehabilitation as well as operation and maintenance.
- This would mean that information about such employment opportunities will be communicated through adequate channels to reach out women in the
communities.
- Core labor standards will be complied with (equal pay for work of equal value, no child labor) for all civil works related to the project.
- Other measures that are needed will be taken (e.g. child supervision arrangements even if informal) so that interested women can grasp such opportunities.
</t>
        </r>
      </text>
    </comment>
    <comment ref="E92" authorId="1" shapeId="0" xr:uid="{00000000-0006-0000-0E00-000009000000}">
      <text>
        <r>
          <rPr>
            <b/>
            <sz val="9"/>
            <color indexed="81"/>
            <rFont val="Tahoma"/>
            <family val="2"/>
          </rPr>
          <t>XMG:</t>
        </r>
        <r>
          <rPr>
            <sz val="9"/>
            <color indexed="81"/>
            <rFont val="Tahoma"/>
            <family val="2"/>
          </rPr>
          <t xml:space="preserve">
Gender activities/actions,
1.2.2 Provide skills enhancement for women in infrastructure related construction/rehabilitation (e.g. masonry skills for bio-digesters construction), and operation and maintenance (e.g. small-scale irrigation schemes).</t>
        </r>
      </text>
    </comment>
    <comment ref="E94" authorId="1" shapeId="0" xr:uid="{00000000-0006-0000-0E00-00000A000000}">
      <text>
        <r>
          <rPr>
            <b/>
            <sz val="9"/>
            <color indexed="81"/>
            <rFont val="Tahoma"/>
            <family val="2"/>
          </rPr>
          <t>XMG:</t>
        </r>
        <r>
          <rPr>
            <sz val="9"/>
            <color indexed="81"/>
            <rFont val="Tahoma"/>
            <family val="2"/>
          </rPr>
          <t xml:space="preserve">
Gender activities/actions,
1.3.1 As part of the promotion campaigns about biodigesters and other renewable energy solutions, raise awareness among women and men in the communities about the benefits for value chain improvement/climate change but also for greater gender equality (time saving, drudgery reduction, improved health).
</t>
        </r>
      </text>
    </comment>
    <comment ref="E98" authorId="1" shapeId="0" xr:uid="{00000000-0006-0000-0E00-00000B000000}">
      <text>
        <r>
          <rPr>
            <b/>
            <sz val="9"/>
            <color indexed="81"/>
            <rFont val="Tahoma"/>
            <family val="2"/>
          </rPr>
          <t>XMG:</t>
        </r>
        <r>
          <rPr>
            <sz val="9"/>
            <color indexed="81"/>
            <rFont val="Tahoma"/>
            <family val="2"/>
          </rPr>
          <t xml:space="preserve">
Gender activities/actions,
1.3.2 Involve women as active agents in the promotion campaigns on the use of renewable energy solutions.</t>
        </r>
      </text>
    </comment>
    <comment ref="E103" authorId="1" shapeId="0" xr:uid="{00000000-0006-0000-0E00-00000C000000}">
      <text>
        <r>
          <rPr>
            <b/>
            <sz val="9"/>
            <color indexed="81"/>
            <rFont val="Tahoma"/>
            <family val="2"/>
          </rPr>
          <t>XMG:</t>
        </r>
        <r>
          <rPr>
            <sz val="9"/>
            <color indexed="81"/>
            <rFont val="Tahoma"/>
            <family val="2"/>
          </rPr>
          <t xml:space="preserve">
Gender Activities/Action,
2.1.1 Involve women farmers (and the WFN) actively in the selection and multiplication of climate resilient crops
varieties and build on their local knowledge in this area.</t>
        </r>
      </text>
    </comment>
    <comment ref="E106" authorId="1" shapeId="0" xr:uid="{00000000-0006-0000-0E00-00000D000000}">
      <text>
        <r>
          <rPr>
            <b/>
            <sz val="9"/>
            <color indexed="81"/>
            <rFont val="Tahoma"/>
            <family val="2"/>
          </rPr>
          <t>XMG:</t>
        </r>
        <r>
          <rPr>
            <sz val="9"/>
            <color indexed="81"/>
            <rFont val="Tahoma"/>
            <family val="2"/>
          </rPr>
          <t xml:space="preserve">
Gender Activities/Action,
2.1.2 Involve women farmers and WFN representatives actively and meaningfully in each individual event for all capacity-building activities (trainings, demonstrations, study tours) supported by the project:
(1) agricultural extension and technical capacity-building activities including those related to climate change adaptation and mitigation;
</t>
        </r>
      </text>
    </comment>
    <comment ref="E113" authorId="1" shapeId="0" xr:uid="{00000000-0006-0000-0E00-00000E000000}">
      <text>
        <r>
          <rPr>
            <b/>
            <sz val="9"/>
            <color indexed="81"/>
            <rFont val="Tahoma"/>
            <family val="2"/>
          </rPr>
          <t>XMG:</t>
        </r>
        <r>
          <rPr>
            <sz val="9"/>
            <color indexed="81"/>
            <rFont val="Tahoma"/>
            <family val="2"/>
          </rPr>
          <t xml:space="preserve">
Gender Activities/Action,
2.1.2 Involve women farmers and WFN representatives actively and meaningfully in each individual event for all capacity-building activities (trainings, demonstrations, study tours) supported by the project:
(2) trainings on how to operate and maintain a range of agricultural machinery;
(3), management (including leadership, negotiation) and business skills trainings.
- This would mean paying special attention to the following aspects: adequate venue, timing, duration, way that invitation is being done (not to head of household as is currently being done), use of visual aids and other
illustrated materials, use of female facilitators/demonstrators and extension agents, child care arrangements even if informal, etc.</t>
        </r>
      </text>
    </comment>
    <comment ref="E117" authorId="1" shapeId="0" xr:uid="{00000000-0006-0000-0E00-00000F000000}">
      <text>
        <r>
          <rPr>
            <b/>
            <sz val="9"/>
            <color indexed="81"/>
            <rFont val="Tahoma"/>
            <family val="2"/>
          </rPr>
          <t>XMG:</t>
        </r>
        <r>
          <rPr>
            <sz val="9"/>
            <color indexed="81"/>
            <rFont val="Tahoma"/>
            <family val="2"/>
          </rPr>
          <t xml:space="preserve">
Gender Activities/Actions,
2.1.3 Strengthen linkages between women-led and/or owned farms/enterprises* and agribusiness industry
For support provided to cooperatives: preferential support will be given to agricultural cooperatives with a majority of female members.
.1.4 Work with the WFN to identify context-appropriate ways to address burden of household and care work for women farmers, especially female headed households, which prevents them to increasingly participate and move up along the value chains.
</t>
        </r>
      </text>
    </comment>
    <comment ref="E126" authorId="1" shapeId="0" xr:uid="{00000000-0006-0000-0E00-000010000000}">
      <text>
        <r>
          <rPr>
            <b/>
            <sz val="9"/>
            <color indexed="81"/>
            <rFont val="Tahoma"/>
            <family val="2"/>
          </rPr>
          <t>XMG:</t>
        </r>
        <r>
          <rPr>
            <sz val="9"/>
            <color indexed="81"/>
            <rFont val="Tahoma"/>
            <family val="2"/>
          </rPr>
          <t xml:space="preserve">
Gender Activities/Actions,
3.1.1 At project inception, refine the gender analysis for each of the 4 targeted value chains and develop a set of clear policy and program recommendations to strengthen women farmers’ involvement along the different value chains. Ensure that capacity is built within MAFF/ Gender &amp; Children Project Support Unit (GCPSU) for gender responsive value chain analysis and develop methodology/guidelines that can be used in future analysis.
</t>
        </r>
      </text>
    </comment>
    <comment ref="E127" authorId="1" shapeId="0" xr:uid="{00000000-0006-0000-0E00-000011000000}">
      <text>
        <r>
          <rPr>
            <b/>
            <sz val="9"/>
            <color indexed="81"/>
            <rFont val="Tahoma"/>
            <family val="2"/>
          </rPr>
          <t>XMG:</t>
        </r>
        <r>
          <rPr>
            <sz val="9"/>
            <color indexed="81"/>
            <rFont val="Tahoma"/>
            <family val="2"/>
          </rPr>
          <t xml:space="preserve">
Gender Activities/Actions,
3.1.2 Integrate key recommendations from the above- mentioned gender analysis of value chains and key features of the MAFF Gender Policy into the Agribusiness policy and other related documents prepared under the project.
- This would also mean that gender stakeholders (MAFF GCPSU representatives, gender focal points, and WFN) participate in policy committees and meetings.
</t>
        </r>
      </text>
    </comment>
    <comment ref="E128" authorId="1" shapeId="0" xr:uid="{00000000-0006-0000-0E00-000012000000}">
      <text>
        <r>
          <rPr>
            <b/>
            <sz val="9"/>
            <color indexed="81"/>
            <rFont val="Tahoma"/>
            <family val="2"/>
          </rPr>
          <t>XMG:</t>
        </r>
        <r>
          <rPr>
            <sz val="9"/>
            <color indexed="81"/>
            <rFont val="Tahoma"/>
            <family val="2"/>
          </rPr>
          <t xml:space="preserve">
Gender Activities/Actions,
3.1.3 Integrate a session on gender equality in climate- friendly agribusiness value chains (based on gender analysis report mentioned above) into the training and awareness raising activities for relevant project stakeholders (i.e. relevant departments in MAFF, agricultural extension agents, local leaders and government officials, GCPSU and Gender Focal Points, and WFN).</t>
        </r>
      </text>
    </comment>
    <comment ref="E131" authorId="1" shapeId="0" xr:uid="{00000000-0006-0000-0E00-000013000000}">
      <text>
        <r>
          <rPr>
            <b/>
            <sz val="9"/>
            <color indexed="81"/>
            <rFont val="Tahoma"/>
            <family val="2"/>
          </rPr>
          <t>XMG:</t>
        </r>
        <r>
          <rPr>
            <sz val="9"/>
            <color indexed="81"/>
            <rFont val="Tahoma"/>
            <family val="2"/>
          </rPr>
          <t xml:space="preserve">
Gender Activities/Actions,
3.1.4 Actively involve the MAFF GCPSU, the sub-national Gender Focal Points (Province, District, Commune), and the WFN and the Agricultural Cooperatives as key partners in project implementation and monitoring, especially for the GAP activities.
- This also entails partnering with the WFN as facilitators/resource persons for agricultural extension and technical capacity-building, awareness-raising and information sharing targeted at farmers including provision of market information.
- WFN social media pages should be used as one of the ways to disseminate information to women farmers.
</t>
        </r>
      </text>
    </comment>
    <comment ref="E133" authorId="1" shapeId="0" xr:uid="{00000000-0006-0000-0E00-000014000000}">
      <text>
        <r>
          <rPr>
            <b/>
            <sz val="9"/>
            <color indexed="81"/>
            <rFont val="Tahoma"/>
            <family val="2"/>
          </rPr>
          <t>XMG:</t>
        </r>
        <r>
          <rPr>
            <sz val="9"/>
            <color indexed="81"/>
            <rFont val="Tahoma"/>
            <family val="2"/>
          </rPr>
          <t xml:space="preserve">
Gender Activities/Actions,
3.2.1 Raise awareness among women farmers/ cooperative members, women-led and/or owned enterprises, and female staff in financial institutions using adequate channels about existing credit facilities, green financing including crop insurance and required formalities to access these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V8" authorId="0" shapeId="0" xr:uid="{00000000-0006-0000-0F00-000001000000}">
      <text>
        <r>
          <rPr>
            <b/>
            <sz val="9"/>
            <color indexed="81"/>
            <rFont val="Tahoma"/>
            <family val="2"/>
          </rPr>
          <t xml:space="preserve">MoWRAM: </t>
        </r>
        <r>
          <rPr>
            <sz val="9"/>
            <color indexed="81"/>
            <rFont val="Tahoma"/>
            <family val="2"/>
          </rPr>
          <t>Updaed as of 31 Dec'20 only.</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<sst xmlns="http://schemas.openxmlformats.org/spreadsheetml/2006/main" count="7762" uniqueCount="907">
  <si>
    <t>Output 1 – Critical Agribusiness Value Chain Infrastructure Improved and made Climate-Resilient</t>
  </si>
  <si>
    <t>Output 2 – Climate-smart Agriculture and Agribusiness Promoted</t>
  </si>
  <si>
    <t>Output 3 – Enabling Environment for Climate-Friendly Agribusiness Enhanced</t>
  </si>
  <si>
    <t>Output and Activities</t>
  </si>
  <si>
    <t xml:space="preserve"> </t>
  </si>
  <si>
    <t>sub-total Output 2</t>
  </si>
  <si>
    <t>sub-total Output 3</t>
  </si>
  <si>
    <t>ACTIVITY</t>
  </si>
  <si>
    <t>UNIT</t>
  </si>
  <si>
    <t>TOTAL</t>
  </si>
  <si>
    <t xml:space="preserve">DED &amp; Tender file  </t>
  </si>
  <si>
    <t>No</t>
  </si>
  <si>
    <t>no</t>
  </si>
  <si>
    <t xml:space="preserve">SUBACTIVITY </t>
  </si>
  <si>
    <t>Subtotal</t>
  </si>
  <si>
    <t>QR1</t>
  </si>
  <si>
    <t>QR2</t>
  </si>
  <si>
    <t>Actual Progress</t>
  </si>
  <si>
    <t>Supporting Climate Risk Management through Information and Communication Technologies (ICT)</t>
  </si>
  <si>
    <t>1.a</t>
  </si>
  <si>
    <t>1.b</t>
  </si>
  <si>
    <t>1.c</t>
  </si>
  <si>
    <t>1.d</t>
  </si>
  <si>
    <t>1.e</t>
  </si>
  <si>
    <t>1.f1</t>
  </si>
  <si>
    <t>1.f2</t>
  </si>
  <si>
    <t>2.a</t>
  </si>
  <si>
    <t>2.b</t>
  </si>
  <si>
    <t>2.c.1</t>
  </si>
  <si>
    <t>2.c.2</t>
  </si>
  <si>
    <t>2.d.1</t>
  </si>
  <si>
    <t>2.d.2</t>
  </si>
  <si>
    <t>3.a</t>
  </si>
  <si>
    <t>3.b</t>
  </si>
  <si>
    <t>3.c</t>
  </si>
  <si>
    <t>3.d</t>
  </si>
  <si>
    <t>3.e</t>
  </si>
  <si>
    <t>3.f</t>
  </si>
  <si>
    <t>3.g</t>
  </si>
  <si>
    <t>Crop product quality and safety testing infrastructure in National Agriculture Laboratory upgraded</t>
  </si>
  <si>
    <t>Assigned weight</t>
  </si>
  <si>
    <t>1.f.1</t>
  </si>
  <si>
    <t>1.f.2</t>
  </si>
  <si>
    <t>OVERALL TARGET</t>
  </si>
  <si>
    <t>Registration</t>
  </si>
  <si>
    <t>Initial meeting with local authorities</t>
  </si>
  <si>
    <t>Village meeting</t>
  </si>
  <si>
    <t>Screening potential candidates FWUC committee</t>
  </si>
  <si>
    <t xml:space="preserve">Drafting of training material for climate smart agriculture </t>
  </si>
  <si>
    <t>Preparation of training material on operation</t>
  </si>
  <si>
    <t xml:space="preserve">Preparation of training material on maintenance </t>
  </si>
  <si>
    <t>Development of new rice varieties</t>
  </si>
  <si>
    <t>Development of new maize varieties</t>
  </si>
  <si>
    <t>Preparation of training materials</t>
  </si>
  <si>
    <t xml:space="preserve">40,000 Farmers trained in Climate-smart Agriculture and agribusiness development skills </t>
  </si>
  <si>
    <t xml:space="preserve">27  Irrigation and water management systems rehabilitated and made climate-friendly </t>
  </si>
  <si>
    <t xml:space="preserve">At least 250 Km  Farm roads upgraded to climate resilient standards to improve  Connectivity to Cooperatives and Markets </t>
  </si>
  <si>
    <t>80 Agricultural cooperatives have integrated adaptation measures in postharvest infrastructural investments</t>
  </si>
  <si>
    <t>3 Additional climate-resilient varieties of rice and maize released</t>
  </si>
  <si>
    <t xml:space="preserve">27 FWUCS of FWUGS made operational </t>
  </si>
  <si>
    <t xml:space="preserve">4 Agricultural development centers made fully operational to provide agribusiness services </t>
  </si>
  <si>
    <t>4 Engineering workshops made fully operational to provide agribusiness services</t>
  </si>
  <si>
    <t>Cambodia good Agricultural practice for tropical fruit endorsed as national standard</t>
  </si>
  <si>
    <t>Cambodia Good Agricultural practice for organic fertilizers endorsed as national standard</t>
  </si>
  <si>
    <t xml:space="preserve">Climate-smart and gender-responsive Agribusiness Policies for target commodities including a PPP framework formulated </t>
  </si>
  <si>
    <t>Socialize GAP Standards for tropical fruit</t>
  </si>
  <si>
    <t xml:space="preserve">Develop training material for staff training in CSA </t>
  </si>
  <si>
    <t xml:space="preserve">Develop training material for staff training in green finance </t>
  </si>
  <si>
    <t>Implement training in green finance</t>
  </si>
  <si>
    <t>Implementation of TNA</t>
  </si>
  <si>
    <t>Development of ICT</t>
  </si>
  <si>
    <t>Purchase of equipment</t>
  </si>
  <si>
    <t xml:space="preserve">Installation of the center </t>
  </si>
  <si>
    <t>Persons</t>
  </si>
  <si>
    <t>Staff</t>
  </si>
  <si>
    <t>subtotal</t>
  </si>
  <si>
    <t xml:space="preserve">Status </t>
  </si>
  <si>
    <t>30/06/20</t>
  </si>
  <si>
    <t>Assigned Weight</t>
  </si>
  <si>
    <t>Weighted progress</t>
  </si>
  <si>
    <t>Recruitment of Consultants</t>
  </si>
  <si>
    <t>Implementation of Output 1 - MAFF</t>
  </si>
  <si>
    <t>Implementation of Output 2 - MAFF</t>
  </si>
  <si>
    <t>Implementation of Output 3 - MAFF</t>
  </si>
  <si>
    <t>OUTPUT 1</t>
  </si>
  <si>
    <t>OUTPUT 2</t>
  </si>
  <si>
    <t xml:space="preserve">Implementation of training on green finance  in CSA </t>
  </si>
  <si>
    <t xml:space="preserve">Implementation of training  on green finance in CSA </t>
  </si>
  <si>
    <t>PMU Operation</t>
  </si>
  <si>
    <t>Social Safeguards and Resettlement</t>
  </si>
  <si>
    <t>Environmental Management</t>
  </si>
  <si>
    <t>Gender</t>
  </si>
  <si>
    <t xml:space="preserve">Implementation of Output 1 - MOWRAM </t>
  </si>
  <si>
    <t xml:space="preserve">Implementation of Output 1 - MRD </t>
  </si>
  <si>
    <t xml:space="preserve">Implementation of Output 2 - MOWRAM </t>
  </si>
  <si>
    <t>Figure 1 : CFAVC Project Implementation Schedule Based on 3 OUTPUTS</t>
  </si>
  <si>
    <t xml:space="preserve">TOTAL </t>
  </si>
  <si>
    <t>30/03/20</t>
  </si>
  <si>
    <t>Training of staff</t>
  </si>
  <si>
    <t>Varieties</t>
  </si>
  <si>
    <t>Variety</t>
  </si>
  <si>
    <t>Seeds</t>
  </si>
  <si>
    <t>Candidate selection</t>
  </si>
  <si>
    <t>Village representation election</t>
  </si>
  <si>
    <t>Training of TOT-Trainers</t>
  </si>
  <si>
    <t>Implementation of comprehensive Needs assessment</t>
  </si>
  <si>
    <t xml:space="preserve">Drafting of training material for agribusiness development </t>
  </si>
  <si>
    <t>Multiplication of maize  seed (CM1) varieties</t>
  </si>
  <si>
    <t>Distribution of maize for seed production</t>
  </si>
  <si>
    <t>TNA for LAB staff</t>
  </si>
  <si>
    <t>800 On-farm rainwater harvesting ponds commissioned (incl. 15 drip irrigation)</t>
  </si>
  <si>
    <t>ACTIVITY/Implementing Agency</t>
  </si>
  <si>
    <t>15/08/20</t>
  </si>
  <si>
    <t xml:space="preserve">sub-total Output 1 </t>
  </si>
  <si>
    <t>FWUC committee election</t>
  </si>
  <si>
    <t>Establish project PMU &amp; PRC</t>
  </si>
  <si>
    <t>Current Progress %</t>
  </si>
  <si>
    <t>Output 2 MAFF</t>
  </si>
  <si>
    <t>Output 2 MOWRAM</t>
  </si>
  <si>
    <t>OUTPUT 3 MAFF</t>
  </si>
  <si>
    <t>Actual Progress against AWP 2020</t>
  </si>
  <si>
    <t>Output 1 MAFF</t>
  </si>
  <si>
    <t>Output 1 MOWRAM</t>
  </si>
  <si>
    <t xml:space="preserve">Output 1 MRD </t>
  </si>
  <si>
    <t>Output 1 Unassigned</t>
  </si>
  <si>
    <t>TOTAL - Output 1</t>
  </si>
  <si>
    <t>TOTAL - Output 2</t>
  </si>
  <si>
    <t>TOTAL - Output 1 + 2 + 3</t>
  </si>
  <si>
    <t xml:space="preserve">Identification of Bio-digesters </t>
  </si>
  <si>
    <t xml:space="preserve">Identification of compost-huts </t>
  </si>
  <si>
    <t>6,000 Compost-huts made operational benefiting 20,000 persons (50% are women)</t>
  </si>
  <si>
    <t>30 agribusinesses trained in green finance and CSA (30% are women)</t>
  </si>
  <si>
    <t>50 Staff from financial institutions trained in CSA and green finance (30% are women)</t>
  </si>
  <si>
    <t>20,000 Households provided with information on climate risk-sharing instruments (100% are women)</t>
  </si>
  <si>
    <t>Person</t>
  </si>
  <si>
    <t>12,000 Bio-digesters made operational benefitting 80,000 persons (50% are women)</t>
  </si>
  <si>
    <t xml:space="preserve">500 FWUCS of FWUGS,  developed capacity to operate and maintain their irrigation schemes </t>
  </si>
  <si>
    <t>Construction of biodigesters</t>
  </si>
  <si>
    <t>Construction of compost huts</t>
  </si>
  <si>
    <t>Trained FWUCs of FWUGs on schemes management</t>
  </si>
  <si>
    <t>Farmers trained on CSA</t>
  </si>
  <si>
    <t>Farmers trained on CAMGAP standards</t>
  </si>
  <si>
    <t xml:space="preserve">Farmers trained on SRP </t>
  </si>
  <si>
    <t>Farm mechanization and agriculture conservation</t>
  </si>
  <si>
    <t>Agriculture Cooperative (board members)</t>
  </si>
  <si>
    <t>15/09/20</t>
  </si>
  <si>
    <t>15/10/20</t>
  </si>
  <si>
    <t xml:space="preserve"> CFAVC Project Implementation Schedule Based on 3 OUTPUTS</t>
  </si>
  <si>
    <t>15/10.20</t>
  </si>
  <si>
    <t>15/11/20</t>
  </si>
  <si>
    <t xml:space="preserve">FWUC formation </t>
  </si>
  <si>
    <t>Months</t>
  </si>
  <si>
    <t>Total</t>
  </si>
  <si>
    <t>Implementation of Output 1 - Unassigned</t>
  </si>
  <si>
    <t xml:space="preserve">Procurement </t>
  </si>
  <si>
    <t>15/12/20</t>
  </si>
  <si>
    <t>15.12/20</t>
  </si>
  <si>
    <t>31/12/20</t>
  </si>
  <si>
    <t>Progress 2020</t>
  </si>
  <si>
    <t xml:space="preserve">Progress 2020 </t>
  </si>
  <si>
    <t>15/01/21</t>
  </si>
  <si>
    <t>Actual Progress Overall  2021  (%)</t>
  </si>
  <si>
    <t>Weighted Progress Overall 2021 %</t>
  </si>
  <si>
    <t>Actual Progress AWP 2021 (%)</t>
  </si>
  <si>
    <t>UPDATED OVERALL PROGRESS  (%)</t>
  </si>
  <si>
    <t>1.f.3</t>
  </si>
  <si>
    <t>Training and Capacity Building</t>
  </si>
  <si>
    <t>Promotion and Marketing</t>
  </si>
  <si>
    <t>Monitoring and Evaluation</t>
  </si>
  <si>
    <t>Innovation &amp; VC improvement</t>
  </si>
  <si>
    <t>Polcy</t>
  </si>
  <si>
    <t>Biodigester</t>
  </si>
  <si>
    <t>document</t>
  </si>
  <si>
    <t>Compost hut</t>
  </si>
  <si>
    <t xml:space="preserve">National Policy and Standards of Biodigester and bioslurry </t>
  </si>
  <si>
    <t xml:space="preserve">500 FWUCS of FWUGS developed capacity to operate and maintain their irrigation schemes </t>
  </si>
  <si>
    <t xml:space="preserve">50 Staff from financial institutions trained in CSA and green finance </t>
  </si>
  <si>
    <t>30 agribusinesses trained in green finance and CSA</t>
  </si>
  <si>
    <t>20,000 Households provided with information on climate risk-sharing instruments</t>
  </si>
  <si>
    <t xml:space="preserve">27 FWUCS of FWUGS made full operational </t>
  </si>
  <si>
    <t>40,000 people trained on biodigester and compost hut use and management (50% are women) and one (1) national standard and policy of biodigester and bio-slurry developed</t>
  </si>
  <si>
    <t>12,000 Bio-digesters made operational benefitting 40,000 persons (50% are women)</t>
  </si>
  <si>
    <t>6,000 Compost-huts made operational benefiting 40,000 persons (50% are women)</t>
  </si>
  <si>
    <t>Multiplication of existed rice varieties production of FS rice for PRD, PMD and CAR 16</t>
  </si>
  <si>
    <t>Distribution of rice seeds for demonstration seed production (PRD, PMD) for WS and CAR 16 for DS</t>
  </si>
  <si>
    <t>sub total</t>
  </si>
  <si>
    <t>set</t>
  </si>
  <si>
    <t>meeting</t>
  </si>
  <si>
    <t>FWUC</t>
  </si>
  <si>
    <t xml:space="preserve">Assessment TNA on CSA and Green finance </t>
  </si>
  <si>
    <t>Assessment</t>
  </si>
  <si>
    <t xml:space="preserve"> Assessment of TNA on CSA and Green finance </t>
  </si>
  <si>
    <t>Set</t>
  </si>
  <si>
    <t>Policy on Climate Smart and Gender Responsive Agribusiness and PPP framework formulated</t>
  </si>
  <si>
    <t>Good Agriculture Practice for tropical fruit endorsed</t>
  </si>
  <si>
    <t>Good Agriculture Practice for organic fertilizer endorsed</t>
  </si>
  <si>
    <t>Implementation of Output  - Unassigned</t>
  </si>
  <si>
    <t>15/02/21</t>
  </si>
  <si>
    <t>Progress 31/12/20</t>
  </si>
  <si>
    <t>CFAVC OVERAL PROJECT IMPLEMENTATION PROGRESS</t>
  </si>
  <si>
    <t xml:space="preserve">MEF FORMAT </t>
  </si>
  <si>
    <t>Step 1A Identification of ISs</t>
  </si>
  <si>
    <t>Schemes</t>
  </si>
  <si>
    <t>Step 1B Feasibility Study</t>
  </si>
  <si>
    <t>Step 2 Topographic Survey</t>
  </si>
  <si>
    <t>Ha</t>
  </si>
  <si>
    <t xml:space="preserve">Step 3 + 4DED &amp; Tender file  </t>
  </si>
  <si>
    <t xml:space="preserve">Procurement &amp; Implementation </t>
  </si>
  <si>
    <t>O&amp;M</t>
  </si>
  <si>
    <t>Step 1A: Identification</t>
  </si>
  <si>
    <t>km</t>
  </si>
  <si>
    <t>Step 2:Topographic Survey</t>
  </si>
  <si>
    <t xml:space="preserve">Step 3+4 DED &amp; Tender file  </t>
  </si>
  <si>
    <t>Procurement</t>
  </si>
  <si>
    <t>Identification of ponds</t>
  </si>
  <si>
    <t>Farm identification for drip system</t>
  </si>
  <si>
    <t>Drip  systems installation</t>
  </si>
  <si>
    <t xml:space="preserve">. </t>
  </si>
  <si>
    <t>Identification and  Initial Survey</t>
  </si>
  <si>
    <t>Construction</t>
  </si>
  <si>
    <t>Training of users (50% are women)</t>
  </si>
  <si>
    <t xml:space="preserve">Output 1 </t>
  </si>
  <si>
    <t xml:space="preserve">Output 2 </t>
  </si>
  <si>
    <t xml:space="preserve">Output 3 </t>
  </si>
  <si>
    <t>TOTAL Output (1 + 2 + 3)</t>
  </si>
  <si>
    <t xml:space="preserve">OUTPUT </t>
  </si>
  <si>
    <t>Actual</t>
  </si>
  <si>
    <t>Weighted</t>
  </si>
  <si>
    <t>EI</t>
  </si>
  <si>
    <t>MAFF</t>
  </si>
  <si>
    <t>MOWRAM</t>
  </si>
  <si>
    <t>MRD</t>
  </si>
  <si>
    <t>Undecided</t>
  </si>
  <si>
    <t xml:space="preserve"> MRD</t>
  </si>
  <si>
    <t xml:space="preserve"> UNDECIDED </t>
  </si>
  <si>
    <t xml:space="preserve">TOTAL MRD </t>
  </si>
  <si>
    <t xml:space="preserve">TOTAL MOWRAM </t>
  </si>
  <si>
    <t xml:space="preserve"> MOWRAM</t>
  </si>
  <si>
    <t xml:space="preserve">TOTAL MAFF </t>
  </si>
  <si>
    <t xml:space="preserve"> MAFF </t>
  </si>
  <si>
    <t xml:space="preserve">Actual </t>
  </si>
  <si>
    <t xml:space="preserve">OVERALL </t>
  </si>
  <si>
    <t xml:space="preserve">Jan </t>
  </si>
  <si>
    <t>Feb</t>
  </si>
  <si>
    <t>March</t>
  </si>
  <si>
    <t>April</t>
  </si>
  <si>
    <t xml:space="preserve">Accumulated </t>
  </si>
  <si>
    <t xml:space="preserve">Weighted  </t>
  </si>
  <si>
    <t>AWP 2020</t>
  </si>
  <si>
    <t>Plan</t>
  </si>
  <si>
    <t>Realisation</t>
  </si>
  <si>
    <t>Nr</t>
  </si>
  <si>
    <t>Physical %</t>
  </si>
  <si>
    <t>AWP</t>
  </si>
  <si>
    <t>Actual progress</t>
  </si>
  <si>
    <t xml:space="preserve">Progress Jan 2021 </t>
  </si>
  <si>
    <t xml:space="preserve">Progress Feb 2021 </t>
  </si>
  <si>
    <t>DED  Ponds</t>
  </si>
  <si>
    <t>DED  Drip system</t>
  </si>
  <si>
    <t>Procurement &amp; Implementation ponds</t>
  </si>
  <si>
    <t>Procurement &amp; Implementation</t>
  </si>
  <si>
    <t>Identification</t>
  </si>
  <si>
    <t>Site location Survey</t>
  </si>
  <si>
    <t>OUTPUT 3</t>
  </si>
  <si>
    <t>Weighted Progress</t>
  </si>
  <si>
    <t>Field day (120 events)</t>
  </si>
  <si>
    <t xml:space="preserve">Training of farmer group on BMP (240 courses) </t>
  </si>
  <si>
    <t xml:space="preserve">Training of farmer group on rice seed produciton (120 courses) </t>
  </si>
  <si>
    <t xml:space="preserve">Progress Mar 2021 </t>
  </si>
  <si>
    <t>On-the job training</t>
  </si>
  <si>
    <t>Site identification for Cassava seeds demonstration</t>
  </si>
  <si>
    <t>Laser Land Leveling (LLL)</t>
  </si>
  <si>
    <t>Demo</t>
  </si>
  <si>
    <t>Demo/ha</t>
  </si>
  <si>
    <t>121/2021</t>
  </si>
  <si>
    <t xml:space="preserve">Progress Q1 2021 </t>
  </si>
  <si>
    <t xml:space="preserve">Progress Apr. 2021 </t>
  </si>
  <si>
    <t>Target</t>
  </si>
  <si>
    <t>Responsible staff</t>
  </si>
  <si>
    <t>CS2</t>
  </si>
  <si>
    <t>Cumulative Progress</t>
  </si>
  <si>
    <t>CumulativeWeighted Progress</t>
  </si>
  <si>
    <t>Cummulative Weighted Progress</t>
  </si>
  <si>
    <t>Cumulative Actual Progress</t>
  </si>
  <si>
    <t>Status :  January though Deember 2021</t>
  </si>
  <si>
    <t>Status : January though Deember 2021</t>
  </si>
  <si>
    <t xml:space="preserve">Progress in Apr. 2021 </t>
  </si>
  <si>
    <t xml:space="preserve">Progress in May 2021 </t>
  </si>
  <si>
    <t xml:space="preserve">Progress in Jun. 2021 </t>
  </si>
  <si>
    <t xml:space="preserve">Progress in Q2 2021 </t>
  </si>
  <si>
    <t xml:space="preserve">Progress in First Six-months 2021 </t>
  </si>
  <si>
    <t xml:space="preserve">Progress in Jul 2021 </t>
  </si>
  <si>
    <t xml:space="preserve">Progress in Aug. 2021 </t>
  </si>
  <si>
    <t xml:space="preserve">Progress in Sept. 2021 </t>
  </si>
  <si>
    <t xml:space="preserve">Progress in Q3 2021 </t>
  </si>
  <si>
    <t xml:space="preserve">Progress in First Nine-months 2021 </t>
  </si>
  <si>
    <t xml:space="preserve">Progress in Oct. 2021 </t>
  </si>
  <si>
    <t xml:space="preserve">Progress in Nov. 2021 </t>
  </si>
  <si>
    <t xml:space="preserve">Progress in Dec. 2021 </t>
  </si>
  <si>
    <t xml:space="preserve">Progress in Q4 2021 </t>
  </si>
  <si>
    <t xml:space="preserve">Progress in Second Six-months 2021 </t>
  </si>
  <si>
    <t xml:space="preserve">Progress in Annually 2021 </t>
  </si>
  <si>
    <t xml:space="preserve">Progress May 2021 </t>
  </si>
  <si>
    <t xml:space="preserve">Progress Jun. 2021 </t>
  </si>
  <si>
    <t xml:space="preserve">Progress Jul. 2021 </t>
  </si>
  <si>
    <t xml:space="preserve">Progress Q2. 2021 </t>
  </si>
  <si>
    <t xml:space="preserve">Progress First Six-monthly 2021 </t>
  </si>
  <si>
    <t xml:space="preserve">Progress Aug. 2021 </t>
  </si>
  <si>
    <t xml:space="preserve">Progress Sept. 2021 </t>
  </si>
  <si>
    <t xml:space="preserve">Progress Q3. 2021 </t>
  </si>
  <si>
    <t xml:space="preserve">Progress First Nine-monthly 2021 </t>
  </si>
  <si>
    <t xml:space="preserve">Progress Oct. 2021 </t>
  </si>
  <si>
    <t xml:space="preserve">Progress Nov. 2021 </t>
  </si>
  <si>
    <t xml:space="preserve">Progress Dec. 2021 </t>
  </si>
  <si>
    <t xml:space="preserve">Progress Q4. 2021 </t>
  </si>
  <si>
    <t xml:space="preserve">Progress Second Six-monthly 2021 </t>
  </si>
  <si>
    <t xml:space="preserve">Progress Annually 2021 </t>
  </si>
  <si>
    <t>Q1</t>
  </si>
  <si>
    <t>May</t>
  </si>
  <si>
    <t>Jun</t>
  </si>
  <si>
    <t>Q2</t>
  </si>
  <si>
    <t>Jul</t>
  </si>
  <si>
    <t>Aug</t>
  </si>
  <si>
    <t>S1</t>
  </si>
  <si>
    <t>Sept</t>
  </si>
  <si>
    <t>Q3</t>
  </si>
  <si>
    <t>S2</t>
  </si>
  <si>
    <t>9 Ms</t>
  </si>
  <si>
    <t>Oct</t>
  </si>
  <si>
    <t>Nov</t>
  </si>
  <si>
    <t>Dec</t>
  </si>
  <si>
    <t>Q4</t>
  </si>
  <si>
    <t>Annual</t>
  </si>
  <si>
    <t>Actual Monthly Weighted Progress Against AWP 2021 (%)</t>
  </si>
  <si>
    <t>TOTAL Output (Undecided)</t>
  </si>
  <si>
    <t>Target Weight</t>
  </si>
  <si>
    <t>Recommendations</t>
  </si>
  <si>
    <t>Primary Indicators</t>
  </si>
  <si>
    <t>Second Indicators</t>
  </si>
  <si>
    <t>Supporting Indicators</t>
  </si>
  <si>
    <t xml:space="preserve">                  Instruction to use</t>
  </si>
  <si>
    <t>CFAVC Project's Physical Progress Database System (PPDS)</t>
  </si>
  <si>
    <t>All indicators are locked, except
the blank columns for the data
entry.</t>
  </si>
  <si>
    <r>
      <rPr>
        <b/>
        <u/>
        <sz val="11"/>
        <color rgb="FF000000"/>
        <rFont val="Arial"/>
        <family val="2"/>
      </rPr>
      <t>Objectives</t>
    </r>
    <r>
      <rPr>
        <sz val="11"/>
        <color rgb="FF000000"/>
        <rFont val="Arial"/>
        <family val="2"/>
      </rPr>
      <t xml:space="preserve">,
1. To have clear and precised indicators' information, include Indicators names, Definition, Baseline, Target, Progress, Variances explanation, etc.;
2. To have clear roles and responsibilities in Data Managements;
3. To have Data Availability;
4. To have Data Integrity;
5. To have Data Security;
6. To have Data Independence;
7. To contribute the quality interim narrative reports;
8. To satisfy the donors.
</t>
    </r>
  </si>
  <si>
    <t>Any questions related to the use of CFAVC's PPDS, please contact to Dr. Vothana Prum, National Monitoring &amp; Evaluation Expert, CFAVC Project.
H/P: 078/069 80 37 38, Email: prumvothana12@gmail.com</t>
  </si>
  <si>
    <t>CS1/MRD</t>
  </si>
  <si>
    <t>CS1/MoWRAM</t>
  </si>
  <si>
    <t>Definitions</t>
  </si>
  <si>
    <t>Unit</t>
  </si>
  <si>
    <t>Total Target</t>
  </si>
  <si>
    <t>Units</t>
  </si>
  <si>
    <t>Kg</t>
  </si>
  <si>
    <t>Tone</t>
  </si>
  <si>
    <t>Riel</t>
  </si>
  <si>
    <t>USD</t>
  </si>
  <si>
    <t>Euro</t>
  </si>
  <si>
    <t>Time</t>
  </si>
  <si>
    <t>Piece</t>
  </si>
  <si>
    <t>LS</t>
  </si>
  <si>
    <t>Book</t>
  </si>
  <si>
    <t>Table</t>
  </si>
  <si>
    <t>Laptop</t>
  </si>
  <si>
    <t>%</t>
  </si>
  <si>
    <t>Other</t>
  </si>
  <si>
    <t>CS#</t>
  </si>
  <si>
    <t>CS 1</t>
  </si>
  <si>
    <t>CS 2</t>
  </si>
  <si>
    <t>CS 3</t>
  </si>
  <si>
    <t>CS 4</t>
  </si>
  <si>
    <t>CS 5</t>
  </si>
  <si>
    <t>MEF</t>
  </si>
  <si>
    <t>Ministries</t>
  </si>
  <si>
    <t>Drop Down List</t>
  </si>
  <si>
    <t>Fill information</t>
  </si>
  <si>
    <t>Baseline</t>
  </si>
  <si>
    <t>MAFF's indicator
Codes</t>
  </si>
  <si>
    <t>Weighted Progress (%)</t>
  </si>
  <si>
    <t>Cumulative Actual Progress (%)</t>
  </si>
  <si>
    <t>Km</t>
  </si>
  <si>
    <t>Pond</t>
  </si>
  <si>
    <t>System</t>
  </si>
  <si>
    <t>By 2026
b. GHG emissions reduced by 240,000 tons of CO2 (2017 baseline: 0 tons reduced due to the project).</t>
  </si>
  <si>
    <t>By 2026
c. At least 50 agribusinesses become more resource efficient in terms of water savings (5-10% efficiencies); energy savings (20%); and reduction in post-harvest losses (10%) (2017 baseline: 0).</t>
  </si>
  <si>
    <t>OC</t>
  </si>
  <si>
    <t>OC.1</t>
  </si>
  <si>
    <t>OC.2</t>
  </si>
  <si>
    <t>OC3</t>
  </si>
  <si>
    <t>OP.1</t>
  </si>
  <si>
    <t>OP.2</t>
  </si>
  <si>
    <t>OP.3</t>
  </si>
  <si>
    <t>Outputs. 1. Critical agribusiness value chain infrastructure improved and made climate resilient</t>
  </si>
  <si>
    <t>1b. 800 on-farm rainwater harvesting ponds commissioned (2017 baseline: 0).</t>
  </si>
  <si>
    <t>OP.1.1</t>
  </si>
  <si>
    <t>OP.1.2</t>
  </si>
  <si>
    <t>OP.1.3</t>
  </si>
  <si>
    <t>OP.1.4</t>
  </si>
  <si>
    <t>OP.1.5</t>
  </si>
  <si>
    <t>OP.1.6</t>
  </si>
  <si>
    <t>Outputs. 2. Climate smart agriculture and agribusiness promoted</t>
  </si>
  <si>
    <t>OP.2.1</t>
  </si>
  <si>
    <t>2a. Three additional climate resilient varieties of rice and maize released (2017 baseline: 0).</t>
  </si>
  <si>
    <t>2b. 40,000 farmers (of whom 16,000 are women) trained in CSA and agribusiness development skills, of which 50% are SRP compliant with direct links to millers and exporters (2017 baseline for SRP compliance: 0).</t>
  </si>
  <si>
    <t>3. Enabling environment for climate friendly agribusiness enhanced</t>
  </si>
  <si>
    <t>OP.2.2</t>
  </si>
  <si>
    <t>OP.2.3</t>
  </si>
  <si>
    <t>OP.2.4</t>
  </si>
  <si>
    <t>3b. CAMGAP for tropical fruit and organic fertilizers endorsed as national standard for tropical fruit and organic fertilizers (2017 baseline: 0).</t>
  </si>
  <si>
    <t>3c. 50 staff, including 30% women, from financial institutions trained in CSA and green finance (2017 baseline: 0).</t>
  </si>
  <si>
    <t>3d. 30 agribusinesses, including 30% women-led and/or owned,*** trained on green finance and CSA (2017 baseline: 0).</t>
  </si>
  <si>
    <t>3f. ICT platform for climate friendly agribusiness established in Kampong Cham province (2017 baseline: 0).</t>
  </si>
  <si>
    <t>a.</t>
  </si>
  <si>
    <t>b.</t>
  </si>
  <si>
    <t>c.</t>
  </si>
  <si>
    <t>1b.</t>
  </si>
  <si>
    <t>1c.</t>
  </si>
  <si>
    <t>1d.</t>
  </si>
  <si>
    <t>1.a.</t>
  </si>
  <si>
    <t>1e.</t>
  </si>
  <si>
    <t>1f.</t>
  </si>
  <si>
    <t>2a.</t>
  </si>
  <si>
    <t>2b.</t>
  </si>
  <si>
    <t>3a. Climate-smart and gender-responsive agribusiness policy for target commodities, including a PPP framework focusing on agribusinesses formulated (2017 baseline: 0).**</t>
  </si>
  <si>
    <t>Rice (per ha)</t>
  </si>
  <si>
    <t>Maize (per ha)</t>
  </si>
  <si>
    <t>Cassava (per ha)</t>
  </si>
  <si>
    <t>Mango (per ha)</t>
  </si>
  <si>
    <t>CS#/ Units</t>
  </si>
  <si>
    <t>a. MAFF agricultural census</t>
  </si>
  <si>
    <t>b. UNFCCC reports</t>
  </si>
  <si>
    <t>c. PPMS reports</t>
  </si>
  <si>
    <t>Energy saving (20%)</t>
  </si>
  <si>
    <t>Post harvesting losses (10%)</t>
  </si>
  <si>
    <t>Tone/Ha</t>
  </si>
  <si>
    <t>27 irrigation and water management systems targeting 15,000 ha</t>
  </si>
  <si>
    <t xml:space="preserve">27 irrigation and water management systems targeting 25,000 households </t>
  </si>
  <si>
    <t>Woman</t>
  </si>
  <si>
    <t>Household</t>
  </si>
  <si>
    <t>AC</t>
  </si>
  <si>
    <t>Crop product quality and safety testing infrastructure in National Agricultural Laboratory upgraded to test 1500 samples</t>
  </si>
  <si>
    <t>Crop product quality and safety testing infrastructure in National Agricultural Laboratory upgraded generate service income more than $75,000</t>
  </si>
  <si>
    <t>Sample</t>
  </si>
  <si>
    <t>Biodigesters</t>
  </si>
  <si>
    <t>2c.</t>
  </si>
  <si>
    <t>2d.</t>
  </si>
  <si>
    <t>3a.</t>
  </si>
  <si>
    <t>3b.</t>
  </si>
  <si>
    <t>3c.</t>
  </si>
  <si>
    <t>3d.</t>
  </si>
  <si>
    <t>3f.</t>
  </si>
  <si>
    <t>3e.</t>
  </si>
  <si>
    <t>OP.3.2</t>
  </si>
  <si>
    <t>OP.3.3</t>
  </si>
  <si>
    <t>OP.3.4</t>
  </si>
  <si>
    <t>OP.3.5</t>
  </si>
  <si>
    <t>OP.3.6</t>
  </si>
  <si>
    <t>MRD
annual report</t>
  </si>
  <si>
    <t>Time line</t>
  </si>
  <si>
    <t>Methods for Tracking</t>
  </si>
  <si>
    <t>M&amp;E Indicator Codes</t>
  </si>
  <si>
    <t>1f. 12,000 additional biodigesters and 6,000 compost huts made operational, benefiting at least 80,000 persons, including at least 50% women, due to better household air quality (2017 baseline beneficiaries: 11,468 persons, including 5,721 women).</t>
  </si>
  <si>
    <t xml:space="preserve">Weighted Progress (%) </t>
  </si>
  <si>
    <t>27 irrigation and water management systems</t>
  </si>
  <si>
    <t>Irrigation System</t>
  </si>
  <si>
    <t>PADC</t>
  </si>
  <si>
    <t>Workshop</t>
  </si>
  <si>
    <t>Agro-Industry Policy</t>
  </si>
  <si>
    <t>Contract Farming Inclusive Agribusiness Policy</t>
  </si>
  <si>
    <t>Proclamation/Prakas Supporting AC’s Law</t>
  </si>
  <si>
    <t>PPP-Initiative Agribusiness Policy</t>
  </si>
  <si>
    <t>Policy</t>
  </si>
  <si>
    <t>CAMGAP for tropical fruit endorsed as national standard for tropical fruit (2017 baseline: 0).</t>
  </si>
  <si>
    <t>CAMGAP for organic fertilizers endorsed as national standard for organic fertilizers (2017 baseline: 0).</t>
  </si>
  <si>
    <t>Standard</t>
  </si>
  <si>
    <t>No.</t>
  </si>
  <si>
    <t>Physical Progress</t>
  </si>
  <si>
    <t>OP.3.3C.1</t>
  </si>
  <si>
    <t>OP.3.3C.2</t>
  </si>
  <si>
    <t>OP.3.3b.1</t>
  </si>
  <si>
    <t>OP.3.3b.2</t>
  </si>
  <si>
    <t>OP.1.1a.1</t>
  </si>
  <si>
    <t>OP.1.1a.2</t>
  </si>
  <si>
    <t>OP.1.1a.3</t>
  </si>
  <si>
    <t>OP.1.5.1e.1</t>
  </si>
  <si>
    <t>OP.1.5.1e.2</t>
  </si>
  <si>
    <t>OP.1.6.1f.1</t>
  </si>
  <si>
    <t>OP.1.6.1f.2</t>
  </si>
  <si>
    <t>OP.1.6.1f.3</t>
  </si>
  <si>
    <t>OP.1.6.1f.8</t>
  </si>
  <si>
    <t>OP.2.1.2a.1</t>
  </si>
  <si>
    <t>OP.2.1.2a.2</t>
  </si>
  <si>
    <t>OP.2.2.2b.1</t>
  </si>
  <si>
    <t>OP.2.2.2b.2</t>
  </si>
  <si>
    <t>OP.2.2.2b.3</t>
  </si>
  <si>
    <t>OP.2.3.2c.1</t>
  </si>
  <si>
    <t>OP.2.3.2c.2</t>
  </si>
  <si>
    <t>OP.2.4.2d.1</t>
  </si>
  <si>
    <t>OP.2.4.2d.2</t>
  </si>
  <si>
    <t>OP.3.1.3a.1</t>
  </si>
  <si>
    <t>OP.3.1.3a.2</t>
  </si>
  <si>
    <t>OP.3.1.3a.3</t>
  </si>
  <si>
    <t>OP.3.1.3a.4</t>
  </si>
  <si>
    <t>OP.3.1.3a.5</t>
  </si>
  <si>
    <t>OP.3.1.3a.6</t>
  </si>
  <si>
    <t>OC.1.a.1</t>
  </si>
  <si>
    <t>OC.1.a.2</t>
  </si>
  <si>
    <t>OC.1.a.3</t>
  </si>
  <si>
    <t>OC3.C.1</t>
  </si>
  <si>
    <t>OC3.C.2</t>
  </si>
  <si>
    <t>OC3.C.3</t>
  </si>
  <si>
    <t>Document</t>
  </si>
  <si>
    <t>1f.1</t>
  </si>
  <si>
    <t>1f.2</t>
  </si>
  <si>
    <t>1f.3</t>
  </si>
  <si>
    <t>1f.3.1</t>
  </si>
  <si>
    <t>1f.3.2</t>
  </si>
  <si>
    <t>No BL</t>
  </si>
  <si>
    <t>DMF Performant Indicators</t>
  </si>
  <si>
    <t>1.1.1</t>
  </si>
  <si>
    <t>Consultants</t>
  </si>
  <si>
    <t>Dy Kunthea</t>
  </si>
  <si>
    <t>Vong Sophorn/ Mak Chanratana</t>
  </si>
  <si>
    <t>Phuong Dara</t>
  </si>
  <si>
    <t>Sophath Heng</t>
  </si>
  <si>
    <t>Pon Han</t>
  </si>
  <si>
    <t>Soeur Sophorn</t>
  </si>
  <si>
    <t>Phai Sok Heng</t>
  </si>
  <si>
    <t>Hoeung Hun / Dy Kunthea</t>
  </si>
  <si>
    <t>Hoeung Hun / Mak Chanratana</t>
  </si>
  <si>
    <t>Green Finance Specialist</t>
  </si>
  <si>
    <t>1.2.1</t>
  </si>
  <si>
    <t>Q1 Y2 - Q4 Y6</t>
  </si>
  <si>
    <t>Q1 Y2 - Q4 Y4</t>
  </si>
  <si>
    <t>Output 1: Critical agribusiness value chain infrastructure improved and made climate resilient</t>
  </si>
  <si>
    <t>GENDER AND SOCIAL DIMENSIONS</t>
  </si>
  <si>
    <t>Gender Objectives.
1.1 Ensure critical agribusiness value chain infrastructure is responsive to the needs of women and men</t>
  </si>
  <si>
    <t>Gender Objectives. 1.2. Enhance income generating opportunities for women</t>
  </si>
  <si>
    <t>1.2.2 At least 30% women FWUC members developed capacity to operate and maintain irrigation schemes.</t>
  </si>
  <si>
    <t>1.2.2</t>
  </si>
  <si>
    <t>Q4 Y1 – Q4 Y6</t>
  </si>
  <si>
    <t>Gender Objectives. 1.3 Increase the uptake of biodigesters</t>
  </si>
  <si>
    <t>Q1 Y2 – Q4 Y4</t>
  </si>
  <si>
    <t>Q4 Y1 – Q4 Y4</t>
  </si>
  <si>
    <t>Output 2: Climate smart agriculture and agribusiness promoted</t>
  </si>
  <si>
    <t>Gender Objectives. 2.1 Strengthen
women farmers’ (individual and member of cooperatives) involvement along climate- friendly agribusiness value chains</t>
  </si>
  <si>
    <t>Q1 Y2 – Q4 Y6</t>
  </si>
  <si>
    <t>Q4 Y1 – Q4 Y5</t>
  </si>
  <si>
    <t>Q1 Y2 – Q4 Y2</t>
  </si>
  <si>
    <t>Gender Objectives. 2.2 Ensure female staff benefit from capacity- building activities related to climate- friendly agribusiness value chains</t>
  </si>
  <si>
    <t>2.2.1 25% at national level and 20% at local levels women participants (aggregate basis).</t>
  </si>
  <si>
    <t>Output 3: Enabling environment for climate friendly agribusiness enhanced</t>
  </si>
  <si>
    <t>Q1 Y2 – Q3 Y1</t>
  </si>
  <si>
    <t>Q4 Y1 – Q2 Y3</t>
  </si>
  <si>
    <t>Q2 Y2 – Q4 Y7</t>
  </si>
  <si>
    <t>Gender
 Objectives 
3.2 Enhance access to green finance for women involved in agribusiness value chains</t>
  </si>
  <si>
    <t>1.1.1 (i) Women are 40% of participants– aggregate basis (point of reference: female population: 54% in subproject 1, 47% in subproject 2; and 48% in subproject 3; 30% female participation in similar activities currently); (ii) At least 50,000 females benefiting from rehabilitated climate resilient irrigation and water management systems</t>
  </si>
  <si>
    <t>(ii) At least 50,000 females benefiting from rehabilitated climate resilient irrigation and water management systems</t>
  </si>
  <si>
    <t xml:space="preserve"> (i) Women are 40% of participants– aggregate basis (point of reference: female population: </t>
  </si>
  <si>
    <t xml:space="preserve"> (i) Women are 30% female participation in similar activities currently);</t>
  </si>
  <si>
    <t xml:space="preserve"> (i) Women are 54% of participants in subproject 1;</t>
  </si>
  <si>
    <t xml:space="preserve"> (i) Women are 47% of participants in subproject 2</t>
  </si>
  <si>
    <t xml:space="preserve"> (i) Women are 48% of participants in subproject 3</t>
  </si>
  <si>
    <t>1.1.1.i</t>
  </si>
  <si>
    <t>1.1.1.ii</t>
  </si>
  <si>
    <t>1.2.1 At least 25% of workdays created will be filled by women disaggregated by skilled/unskilled and type of work (point of reference: women’s current involvement in similar infrastructure related work varying between 17% to 46%)</t>
  </si>
  <si>
    <t>17-46</t>
  </si>
  <si>
    <t>1.3.1</t>
  </si>
  <si>
    <t>At least 40,000 women (or 50% of total beneficiaries) are beneficiaries of biodigesters and compost huts installed (baseline:
5,721 women).</t>
  </si>
  <si>
    <t>1.3.2</t>
  </si>
  <si>
    <t>?</t>
  </si>
  <si>
    <t>For 2.1.2 (1) and (3): Women are 40% of total participants (aggregate basis) or at least 16,000 women farmers are trained in CSA and agribusiness development skills (point of reference: female population: 54% in subproject 1, 47% in subproject 2; and 48% in subproject 3 with almost all of them farming; 30% female participation in similar activities currently).</t>
  </si>
  <si>
    <t>How to measure this?</t>
  </si>
  <si>
    <t>2.1.1</t>
  </si>
  <si>
    <r>
      <rPr>
        <b/>
        <sz val="10"/>
        <color rgb="FF0000CC"/>
        <rFont val="Calibri"/>
        <family val="2"/>
        <scheme val="minor"/>
      </rPr>
      <t>Number</t>
    </r>
    <r>
      <rPr>
        <sz val="10"/>
        <color rgb="FF0000CC"/>
        <rFont val="Calibri"/>
        <family val="2"/>
        <scheme val="minor"/>
      </rPr>
      <t xml:space="preserve"> of women </t>
    </r>
    <r>
      <rPr>
        <b/>
        <sz val="10"/>
        <color rgb="FF0000CC"/>
        <rFont val="Calibri"/>
        <family val="2"/>
        <scheme val="minor"/>
      </rPr>
      <t>farmers</t>
    </r>
    <r>
      <rPr>
        <sz val="10"/>
        <color rgb="FF0000CC"/>
        <rFont val="Calibri"/>
        <family val="2"/>
        <scheme val="minor"/>
      </rPr>
      <t xml:space="preserve"> involved</t>
    </r>
  </si>
  <si>
    <r>
      <rPr>
        <b/>
        <sz val="10"/>
        <color rgb="FF0000CC"/>
        <rFont val="Calibri"/>
        <family val="2"/>
        <scheme val="minor"/>
      </rPr>
      <t>%</t>
    </r>
    <r>
      <rPr>
        <sz val="10"/>
        <color rgb="FF0000CC"/>
        <rFont val="Calibri"/>
        <family val="2"/>
        <scheme val="minor"/>
      </rPr>
      <t xml:space="preserve"> of women </t>
    </r>
    <r>
      <rPr>
        <b/>
        <sz val="10"/>
        <color rgb="FF0000CC"/>
        <rFont val="Calibri"/>
        <family val="2"/>
        <scheme val="minor"/>
      </rPr>
      <t>farmers</t>
    </r>
    <r>
      <rPr>
        <sz val="10"/>
        <color rgb="FF0000CC"/>
        <rFont val="Calibri"/>
        <family val="2"/>
        <scheme val="minor"/>
      </rPr>
      <t xml:space="preserve"> involved</t>
    </r>
  </si>
  <si>
    <t>2.1.2</t>
  </si>
  <si>
    <t>For 2.1.2 (2): (i) Number and percentage of women farmers trained in each event; (ii) women represent 40% of increased labor pool of individuals who can operate agricultural machinery over the baseline (baseline: 0).</t>
  </si>
  <si>
    <t>Project Interim Recoding</t>
  </si>
  <si>
    <t>2.1.3 (i) Number and type of activities conducted; (ii) at least 8,000 women farmers (or 50% of total women farmers trained) are SRP compliant with direct links to millers and exporters.</t>
  </si>
  <si>
    <t>Focus on Agricultural Cooperatives with a majority of female members</t>
  </si>
  <si>
    <r>
      <t>1a. 27</t>
    </r>
    <r>
      <rPr>
        <b/>
        <sz val="11"/>
        <color rgb="FF009999"/>
        <rFont val="Calibri"/>
        <family val="2"/>
        <scheme val="minor"/>
      </rPr>
      <t xml:space="preserve"> irrigation and water management systems</t>
    </r>
    <r>
      <rPr>
        <sz val="11"/>
        <color rgb="FF009999"/>
        <rFont val="Calibri"/>
        <family val="2"/>
        <scheme val="minor"/>
      </rPr>
      <t xml:space="preserve"> targeting 15,000 ha and 25,000 households (with at least 50,000 women) rehabilitated and made climate resilient (2017 baseline: 0).</t>
    </r>
  </si>
  <si>
    <r>
      <t>1.3.1</t>
    </r>
    <r>
      <rPr>
        <b/>
        <sz val="11"/>
        <color theme="1"/>
        <rFont val="Calibri"/>
        <family val="2"/>
        <scheme val="minor"/>
      </rPr>
      <t xml:space="preserve"> At least 40,000 women</t>
    </r>
    <r>
      <rPr>
        <sz val="11"/>
        <color theme="1"/>
        <rFont val="Calibri"/>
        <family val="2"/>
        <scheme val="minor"/>
      </rPr>
      <t xml:space="preserve"> (or 50% of total beneficiaries) are beneficiaries of </t>
    </r>
    <r>
      <rPr>
        <b/>
        <sz val="11"/>
        <color theme="1"/>
        <rFont val="Calibri"/>
        <family val="2"/>
        <scheme val="minor"/>
      </rPr>
      <t>biodigesters and compost huts</t>
    </r>
    <r>
      <rPr>
        <sz val="11"/>
        <color theme="1"/>
        <rFont val="Calibri"/>
        <family val="2"/>
        <scheme val="minor"/>
      </rPr>
      <t xml:space="preserve"> installed (baseline:
5,721 women).</t>
    </r>
  </si>
  <si>
    <r>
      <t xml:space="preserve">1.3.2 Number and percentage of women </t>
    </r>
    <r>
      <rPr>
        <b/>
        <sz val="11"/>
        <color theme="1"/>
        <rFont val="Calibri"/>
        <family val="2"/>
        <scheme val="minor"/>
      </rPr>
      <t>active agents.</t>
    </r>
  </si>
  <si>
    <t>OP.3.1.a</t>
  </si>
  <si>
    <t>2.2.1</t>
  </si>
  <si>
    <t>3.1.1</t>
  </si>
  <si>
    <t>3.1.2</t>
  </si>
  <si>
    <t>3.1.3</t>
  </si>
  <si>
    <t>3.1.4</t>
  </si>
  <si>
    <t>3.2.1</t>
  </si>
  <si>
    <t>3.1.4 MAFF GCPSU, the sub-national Gender Focal Points (Province, District, Commune), the AC and the WFN are aware of the GAP activities</t>
  </si>
  <si>
    <t>Gender Objectives 3.1. Institutionalize gender mainstreaming in the climate- friendly agribusiness value chains sector</t>
  </si>
  <si>
    <t>Report</t>
  </si>
  <si>
    <t>25% at national level of women participants (aggregate basis).</t>
  </si>
  <si>
    <t>20% at local levels of women participants (aggregate basis).</t>
  </si>
  <si>
    <t>Recommendation</t>
  </si>
  <si>
    <r>
      <t>3.1.2</t>
    </r>
    <r>
      <rPr>
        <b/>
        <sz val="11"/>
        <rFont val="Calibri"/>
        <family val="2"/>
        <scheme val="minor"/>
      </rPr>
      <t xml:space="preserve"> Key recommendations</t>
    </r>
    <r>
      <rPr>
        <sz val="11"/>
        <rFont val="Calibri"/>
        <family val="2"/>
        <scheme val="minor"/>
      </rPr>
      <t xml:space="preserve"> from gender analysis of 4 targeted value chains integrated in the Agribusiness </t>
    </r>
    <r>
      <rPr>
        <b/>
        <sz val="11"/>
        <rFont val="Calibri"/>
        <family val="2"/>
        <scheme val="minor"/>
      </rPr>
      <t xml:space="preserve">Policy </t>
    </r>
    <r>
      <rPr>
        <sz val="11"/>
        <rFont val="Calibri"/>
        <family val="2"/>
        <scheme val="minor"/>
      </rPr>
      <t>( CSA Policy, Agro-Industry Policy, Contract Farming Inclusive Agribusiness Policy, Proclamation/Prakas Supporting AC’s Law, PPP-Initiative Agribusiness Policy). (Baseline: NA)</t>
    </r>
  </si>
  <si>
    <t>Session</t>
  </si>
  <si>
    <r>
      <t>3.1.1</t>
    </r>
    <r>
      <rPr>
        <b/>
        <sz val="11"/>
        <rFont val="Calibri"/>
        <family val="2"/>
        <scheme val="minor"/>
      </rPr>
      <t xml:space="preserve"> Report </t>
    </r>
    <r>
      <rPr>
        <sz val="11"/>
        <rFont val="Calibri"/>
        <family val="2"/>
        <scheme val="minor"/>
      </rPr>
      <t xml:space="preserve">prepared with clear recommendations based on detailed gender analysis of the </t>
    </r>
    <r>
      <rPr>
        <b/>
        <sz val="11"/>
        <rFont val="Calibri"/>
        <family val="2"/>
        <scheme val="minor"/>
      </rPr>
      <t>4 value chains</t>
    </r>
    <r>
      <rPr>
        <sz val="11"/>
        <rFont val="Calibri"/>
        <family val="2"/>
        <scheme val="minor"/>
      </rPr>
      <t>. (Baseline: 0)</t>
    </r>
  </si>
  <si>
    <r>
      <rPr>
        <b/>
        <sz val="11"/>
        <color rgb="FF0000CC"/>
        <rFont val="Calibri"/>
        <family val="2"/>
        <scheme val="minor"/>
      </rPr>
      <t>Number of sessions provided</t>
    </r>
    <r>
      <rPr>
        <sz val="11"/>
        <color rgb="FF0000CC"/>
        <rFont val="Calibri"/>
        <family val="2"/>
        <scheme val="minor"/>
      </rPr>
      <t xml:space="preserve"> on gender equality in climate-friendly agribusiness value chains; target groups; (Baseline: 0)</t>
    </r>
  </si>
  <si>
    <t>#</t>
  </si>
  <si>
    <r>
      <t xml:space="preserve"> </t>
    </r>
    <r>
      <rPr>
        <b/>
        <sz val="11"/>
        <color rgb="FF0000CC"/>
        <rFont val="Calibri"/>
        <family val="2"/>
        <scheme val="minor"/>
      </rPr>
      <t>Number of people trained</t>
    </r>
    <r>
      <rPr>
        <sz val="11"/>
        <color rgb="FF0000CC"/>
        <rFont val="Calibri"/>
        <family val="2"/>
        <scheme val="minor"/>
      </rPr>
      <t xml:space="preserve"> disaggregated by sex on gender equality in climate-friendly agribusiness value chains; (Baseline:0)</t>
    </r>
  </si>
  <si>
    <t>3.2.1 (i)Number and type of activities conducted; (ii) types of communication channels and materials used; (iii) 15 female staff in financial institutions trained in CSA lending and green finance (or 30% of total staff trained are women); (iv) 10 (or 30% of total privately-owned enterprises trained) women-led and/or owned enterprises trained on green finance and CSA; (v) 20,000 women provided with information on climate risk sharing instruments.</t>
  </si>
  <si>
    <t>Activity</t>
  </si>
  <si>
    <t>(v) 20,000 women provided with information on climate risk sharing instruments.</t>
  </si>
  <si>
    <t>Project Recoding</t>
  </si>
  <si>
    <r>
      <t xml:space="preserve"> (i) </t>
    </r>
    <r>
      <rPr>
        <b/>
        <sz val="10"/>
        <color rgb="FF0000CC"/>
        <rFont val="Calibri"/>
        <family val="2"/>
        <scheme val="minor"/>
      </rPr>
      <t>Number and type of activities</t>
    </r>
    <r>
      <rPr>
        <sz val="10"/>
        <color rgb="FF0000CC"/>
        <rFont val="Calibri"/>
        <family val="2"/>
        <scheme val="minor"/>
      </rPr>
      <t xml:space="preserve"> conducted on climate risk sharing instruments.</t>
    </r>
  </si>
  <si>
    <t>Channel</t>
  </si>
  <si>
    <t>Kol Prapey /  Peter J.</t>
  </si>
  <si>
    <t>Outcome, 
Productive and resource efficient agribusiness value chains developed in project areas</t>
  </si>
  <si>
    <r>
      <t xml:space="preserve">3.1.3 </t>
    </r>
    <r>
      <rPr>
        <b/>
        <sz val="11"/>
        <color theme="1"/>
        <rFont val="Calibri"/>
        <family val="2"/>
        <scheme val="minor"/>
      </rPr>
      <t>Number of sessions provided</t>
    </r>
    <r>
      <rPr>
        <sz val="11"/>
        <color theme="1"/>
        <rFont val="Calibri"/>
        <family val="2"/>
        <scheme val="minor"/>
      </rPr>
      <t xml:space="preserve"> on gender equality in climate-friendly agribusiness value chains; target groups; </t>
    </r>
    <r>
      <rPr>
        <b/>
        <sz val="11"/>
        <color theme="1"/>
        <rFont val="Calibri"/>
        <family val="2"/>
        <scheme val="minor"/>
      </rPr>
      <t>number of people trained</t>
    </r>
    <r>
      <rPr>
        <sz val="11"/>
        <color theme="1"/>
        <rFont val="Calibri"/>
        <family val="2"/>
        <scheme val="minor"/>
      </rPr>
      <t xml:space="preserve"> disaggregated by sex. (Baseline: 0)</t>
    </r>
  </si>
  <si>
    <r>
      <rPr>
        <b/>
        <sz val="11"/>
        <color theme="1"/>
        <rFont val="Calibri"/>
        <family val="2"/>
        <scheme val="minor"/>
      </rPr>
      <t>By 2026</t>
    </r>
    <r>
      <rPr>
        <sz val="11"/>
        <color theme="1"/>
        <rFont val="Calibri"/>
        <family val="2"/>
        <scheme val="minor"/>
      </rPr>
      <t xml:space="preserve">
a. At least 15% increase in yields (2017 baseline: rice 2.7 tons, maize 4 tons, cassava 20 tons and mango 15 tons/ha).</t>
    </r>
  </si>
  <si>
    <r>
      <t>1d. 80 agricultural</t>
    </r>
    <r>
      <rPr>
        <b/>
        <sz val="11"/>
        <color theme="1"/>
        <rFont val="Calibri"/>
        <family val="2"/>
        <scheme val="minor"/>
      </rPr>
      <t xml:space="preserve"> cooperatives</t>
    </r>
    <r>
      <rPr>
        <sz val="11"/>
        <color theme="1"/>
        <rFont val="Calibri"/>
        <family val="2"/>
        <scheme val="minor"/>
      </rPr>
      <t>* integrated adaptation measures in post-harvest infrastructure investments (2017 baseline: 5).</t>
    </r>
  </si>
  <si>
    <t>1e. Crop product quality and safety testing infrastructure in National Agricultural Laboratory upgraded to test 1500 samples (2017 baseline: 700) and generate service income more than $75,000 (2017 baseline: $0).</t>
  </si>
  <si>
    <r>
      <t xml:space="preserve">2.1.1 Number and % of women </t>
    </r>
    <r>
      <rPr>
        <b/>
        <sz val="11"/>
        <color theme="1"/>
        <rFont val="Calibri"/>
        <family val="2"/>
        <scheme val="minor"/>
      </rPr>
      <t>farmers</t>
    </r>
    <r>
      <rPr>
        <sz val="11"/>
        <color theme="1"/>
        <rFont val="Calibri"/>
        <family val="2"/>
        <scheme val="minor"/>
      </rPr>
      <t xml:space="preserve"> involved</t>
    </r>
  </si>
  <si>
    <r>
      <t xml:space="preserve">12,000 Bio-digesters </t>
    </r>
    <r>
      <rPr>
        <sz val="11"/>
        <rFont val="Calibri"/>
        <family val="2"/>
        <scheme val="minor"/>
      </rPr>
      <t>made operational benefitting 80,000 persons (50% are women)</t>
    </r>
  </si>
  <si>
    <r>
      <rPr>
        <sz val="11"/>
        <rFont val="Calibri"/>
        <family val="2"/>
        <scheme val="minor"/>
      </rPr>
      <t>12,000 Bio-digesters made operational</t>
    </r>
    <r>
      <rPr>
        <sz val="11"/>
        <color rgb="FF0000CC"/>
        <rFont val="Calibri"/>
        <family val="2"/>
        <scheme val="minor"/>
      </rPr>
      <t xml:space="preserve"> benefitting 80,000 persons </t>
    </r>
    <r>
      <rPr>
        <sz val="11"/>
        <rFont val="Calibri"/>
        <family val="2"/>
        <scheme val="minor"/>
      </rPr>
      <t>(50% are women)</t>
    </r>
  </si>
  <si>
    <r>
      <rPr>
        <sz val="11"/>
        <color rgb="FF0000CC"/>
        <rFont val="Calibri"/>
        <family val="2"/>
        <scheme val="minor"/>
      </rPr>
      <t>6,000 Compost-huts</t>
    </r>
    <r>
      <rPr>
        <sz val="11"/>
        <color theme="1"/>
        <rFont val="Calibri"/>
        <family val="2"/>
        <scheme val="minor"/>
      </rPr>
      <t xml:space="preserve"> made operational benefiting 20,000 persons (50% are women)</t>
    </r>
  </si>
  <si>
    <r>
      <t xml:space="preserve">6,000 Compost-huts made operational </t>
    </r>
    <r>
      <rPr>
        <sz val="11"/>
        <color rgb="FF0000CC"/>
        <rFont val="Calibri"/>
        <family val="2"/>
        <scheme val="minor"/>
      </rPr>
      <t>benefiting 20,000 persons</t>
    </r>
    <r>
      <rPr>
        <sz val="11"/>
        <color theme="1"/>
        <rFont val="Calibri"/>
        <family val="2"/>
        <scheme val="minor"/>
      </rPr>
      <t xml:space="preserve"> (50% are women)</t>
    </r>
  </si>
  <si>
    <r>
      <t xml:space="preserve">farmers (of whom 16,000 are women) </t>
    </r>
    <r>
      <rPr>
        <b/>
        <sz val="11"/>
        <color rgb="FF0000CC"/>
        <rFont val="Calibri"/>
        <family val="2"/>
        <scheme val="minor"/>
      </rPr>
      <t>trained in CSA</t>
    </r>
    <r>
      <rPr>
        <sz val="11"/>
        <color rgb="FF0000CC"/>
        <rFont val="Calibri"/>
        <family val="2"/>
        <scheme val="minor"/>
      </rPr>
      <t xml:space="preserve"> </t>
    </r>
  </si>
  <si>
    <r>
      <t xml:space="preserve">farmers (of whom 16,000 are women) </t>
    </r>
    <r>
      <rPr>
        <b/>
        <sz val="11"/>
        <color rgb="FF0000CC"/>
        <rFont val="Calibri"/>
        <family val="2"/>
        <scheme val="minor"/>
      </rPr>
      <t>trained</t>
    </r>
    <r>
      <rPr>
        <sz val="11"/>
        <color rgb="FF0000CC"/>
        <rFont val="Calibri"/>
        <family val="2"/>
        <scheme val="minor"/>
      </rPr>
      <t xml:space="preserve"> in </t>
    </r>
    <r>
      <rPr>
        <b/>
        <sz val="11"/>
        <color rgb="FF0000CC"/>
        <rFont val="Calibri"/>
        <family val="2"/>
        <scheme val="minor"/>
      </rPr>
      <t>Agribusiness Development Skills</t>
    </r>
    <r>
      <rPr>
        <sz val="11"/>
        <color rgb="FF0000CC"/>
        <rFont val="Calibri"/>
        <family val="2"/>
        <scheme val="minor"/>
      </rPr>
      <t xml:space="preserve"> (ADS)</t>
    </r>
  </si>
  <si>
    <r>
      <t xml:space="preserve">farmers are </t>
    </r>
    <r>
      <rPr>
        <b/>
        <sz val="11"/>
        <color rgb="FF0000CC"/>
        <rFont val="Calibri"/>
        <family val="2"/>
        <scheme val="minor"/>
      </rPr>
      <t>trained</t>
    </r>
    <r>
      <rPr>
        <sz val="11"/>
        <color rgb="FF0000CC"/>
        <rFont val="Calibri"/>
        <family val="2"/>
        <scheme val="minor"/>
      </rPr>
      <t xml:space="preserve"> on </t>
    </r>
    <r>
      <rPr>
        <b/>
        <sz val="11"/>
        <color rgb="FF0000CC"/>
        <rFont val="Calibri"/>
        <family val="2"/>
        <scheme val="minor"/>
      </rPr>
      <t>SRP compliant</t>
    </r>
    <r>
      <rPr>
        <sz val="11"/>
        <color rgb="FF0000CC"/>
        <rFont val="Calibri"/>
        <family val="2"/>
        <scheme val="minor"/>
      </rPr>
      <t xml:space="preserve"> with direct links to millers and exporters (2017 baseline for SRP compliance: 0)</t>
    </r>
  </si>
  <si>
    <r>
      <rPr>
        <b/>
        <sz val="11"/>
        <color rgb="FF0000CC"/>
        <rFont val="Calibri"/>
        <family val="2"/>
        <scheme val="minor"/>
      </rPr>
      <t xml:space="preserve"> 500 FWUC/FWUG members</t>
    </r>
    <r>
      <rPr>
        <sz val="11"/>
        <color rgb="FF0000CC"/>
        <rFont val="Calibri"/>
        <family val="2"/>
        <scheme val="minor"/>
      </rPr>
      <t xml:space="preserve"> developed </t>
    </r>
    <r>
      <rPr>
        <b/>
        <sz val="11"/>
        <color rgb="FF0000CC"/>
        <rFont val="Calibri"/>
        <family val="2"/>
        <scheme val="minor"/>
      </rPr>
      <t>capacity</t>
    </r>
    <r>
      <rPr>
        <sz val="11"/>
        <color rgb="FF0000CC"/>
        <rFont val="Calibri"/>
        <family val="2"/>
        <scheme val="minor"/>
      </rPr>
      <t xml:space="preserve"> to </t>
    </r>
    <r>
      <rPr>
        <b/>
        <sz val="11"/>
        <color rgb="FF0000CC"/>
        <rFont val="Calibri"/>
        <family val="2"/>
        <scheme val="minor"/>
      </rPr>
      <t>operate and maintain their irrigation schemes</t>
    </r>
    <r>
      <rPr>
        <sz val="11"/>
        <color rgb="FF0000CC"/>
        <rFont val="Calibri"/>
        <family val="2"/>
        <scheme val="minor"/>
      </rPr>
      <t xml:space="preserve"> (2017 baseline: 0).</t>
    </r>
  </si>
  <si>
    <r>
      <t xml:space="preserve">50 staff, including 30% women, from financial institutions </t>
    </r>
    <r>
      <rPr>
        <b/>
        <sz val="11"/>
        <color rgb="FF0000CC"/>
        <rFont val="Calibri"/>
        <family val="2"/>
        <scheme val="minor"/>
      </rPr>
      <t>trained</t>
    </r>
    <r>
      <rPr>
        <sz val="11"/>
        <color rgb="FF0000CC"/>
        <rFont val="Calibri"/>
        <family val="2"/>
        <scheme val="minor"/>
      </rPr>
      <t xml:space="preserve"> in </t>
    </r>
    <r>
      <rPr>
        <b/>
        <sz val="11"/>
        <color rgb="FF0000CC"/>
        <rFont val="Calibri"/>
        <family val="2"/>
        <scheme val="minor"/>
      </rPr>
      <t>CSA</t>
    </r>
    <r>
      <rPr>
        <sz val="11"/>
        <color rgb="FF0000CC"/>
        <rFont val="Calibri"/>
        <family val="2"/>
        <scheme val="minor"/>
      </rPr>
      <t xml:space="preserve"> (2017 baseline: 0).</t>
    </r>
  </si>
  <si>
    <r>
      <t xml:space="preserve">50 staff, including 30% women, from financial institutions </t>
    </r>
    <r>
      <rPr>
        <b/>
        <sz val="11"/>
        <color rgb="FF0000CC"/>
        <rFont val="Calibri"/>
        <family val="2"/>
        <scheme val="minor"/>
      </rPr>
      <t>trained</t>
    </r>
    <r>
      <rPr>
        <sz val="11"/>
        <color rgb="FF0000CC"/>
        <rFont val="Calibri"/>
        <family val="2"/>
        <scheme val="minor"/>
      </rPr>
      <t xml:space="preserve"> in </t>
    </r>
    <r>
      <rPr>
        <b/>
        <sz val="11"/>
        <color rgb="FF0000CC"/>
        <rFont val="Calibri"/>
        <family val="2"/>
        <scheme val="minor"/>
      </rPr>
      <t>Green finance</t>
    </r>
    <r>
      <rPr>
        <sz val="11"/>
        <color rgb="FF0000CC"/>
        <rFont val="Calibri"/>
        <family val="2"/>
        <scheme val="minor"/>
      </rPr>
      <t xml:space="preserve"> (2017 baseline:0).</t>
    </r>
  </si>
  <si>
    <r>
      <t xml:space="preserve">30 agribusinesses, including 30% women-led and/or owned,*** </t>
    </r>
    <r>
      <rPr>
        <b/>
        <sz val="11"/>
        <color rgb="FF0000CC"/>
        <rFont val="Calibri"/>
        <family val="2"/>
        <scheme val="minor"/>
      </rPr>
      <t>trained</t>
    </r>
    <r>
      <rPr>
        <sz val="11"/>
        <color rgb="FF0000CC"/>
        <rFont val="Calibri"/>
        <family val="2"/>
        <scheme val="minor"/>
      </rPr>
      <t xml:space="preserve"> on </t>
    </r>
    <r>
      <rPr>
        <b/>
        <sz val="11"/>
        <color rgb="FF0000CC"/>
        <rFont val="Calibri"/>
        <family val="2"/>
        <scheme val="minor"/>
      </rPr>
      <t>Green finance</t>
    </r>
    <r>
      <rPr>
        <sz val="11"/>
        <color rgb="FF0000CC"/>
        <rFont val="Calibri"/>
        <family val="2"/>
        <scheme val="minor"/>
      </rPr>
      <t xml:space="preserve"> (2017 baseline: 0).</t>
    </r>
  </si>
  <si>
    <r>
      <t>30 agribusinesses, including 30% women-led and/or owned,***</t>
    </r>
    <r>
      <rPr>
        <b/>
        <sz val="11"/>
        <color rgb="FF0000CC"/>
        <rFont val="Calibri"/>
        <family val="2"/>
        <scheme val="minor"/>
      </rPr>
      <t xml:space="preserve"> trained</t>
    </r>
    <r>
      <rPr>
        <sz val="11"/>
        <color rgb="FF0000CC"/>
        <rFont val="Calibri"/>
        <family val="2"/>
        <scheme val="minor"/>
      </rPr>
      <t xml:space="preserve"> on </t>
    </r>
    <r>
      <rPr>
        <b/>
        <sz val="11"/>
        <color rgb="FF0000CC"/>
        <rFont val="Calibri"/>
        <family val="2"/>
        <scheme val="minor"/>
      </rPr>
      <t>CSA</t>
    </r>
    <r>
      <rPr>
        <sz val="11"/>
        <color rgb="FF0000CC"/>
        <rFont val="Calibri"/>
        <family val="2"/>
        <scheme val="minor"/>
      </rPr>
      <t xml:space="preserve"> (2017 baseline: 0).</t>
    </r>
  </si>
  <si>
    <r>
      <t xml:space="preserve"> 4 </t>
    </r>
    <r>
      <rPr>
        <b/>
        <sz val="11"/>
        <color rgb="FF0000CC"/>
        <rFont val="Calibri"/>
        <family val="2"/>
        <scheme val="minor"/>
      </rPr>
      <t>provincial agricultural development centers</t>
    </r>
    <r>
      <rPr>
        <sz val="11"/>
        <color rgb="FF0000CC"/>
        <rFont val="Calibri"/>
        <family val="2"/>
        <scheme val="minor"/>
      </rPr>
      <t xml:space="preserve"> made fully operational to provide agribusiness services and strengthen farmer value chain linkages (2017 baseline: 0).</t>
    </r>
  </si>
  <si>
    <r>
      <t xml:space="preserve">4 </t>
    </r>
    <r>
      <rPr>
        <b/>
        <sz val="11"/>
        <color rgb="FF0000CC"/>
        <rFont val="Calibri"/>
        <family val="2"/>
        <scheme val="minor"/>
      </rPr>
      <t>engineering workshops</t>
    </r>
    <r>
      <rPr>
        <sz val="11"/>
        <color rgb="FF0000CC"/>
        <rFont val="Calibri"/>
        <family val="2"/>
        <scheme val="minor"/>
      </rPr>
      <t xml:space="preserve"> made fully operational to provide agribusiness services and strengthen farmer value chain linkages (2017 baseline: 0).</t>
    </r>
  </si>
  <si>
    <r>
      <t xml:space="preserve">20,000 people </t>
    </r>
    <r>
      <rPr>
        <b/>
        <sz val="11"/>
        <color rgb="FF0000CC"/>
        <rFont val="Calibri"/>
        <family val="2"/>
        <scheme val="minor"/>
      </rPr>
      <t>trained</t>
    </r>
    <r>
      <rPr>
        <sz val="11"/>
        <color rgb="FF0000CC"/>
        <rFont val="Calibri"/>
        <family val="2"/>
        <scheme val="minor"/>
      </rPr>
      <t xml:space="preserve"> on </t>
    </r>
    <r>
      <rPr>
        <b/>
        <sz val="11"/>
        <color rgb="FF0000CC"/>
        <rFont val="Calibri"/>
        <family val="2"/>
        <scheme val="minor"/>
      </rPr>
      <t xml:space="preserve">biodigester </t>
    </r>
    <r>
      <rPr>
        <sz val="11"/>
        <color rgb="FF0000CC"/>
        <rFont val="Calibri"/>
        <family val="2"/>
        <scheme val="minor"/>
      </rPr>
      <t>use and management (50% are women) and one (1) national standard and policy of biodigester and bio-slurry developed</t>
    </r>
  </si>
  <si>
    <r>
      <t xml:space="preserve">20,000 people </t>
    </r>
    <r>
      <rPr>
        <b/>
        <sz val="11"/>
        <color rgb="FF0000CC"/>
        <rFont val="Calibri"/>
        <family val="2"/>
        <scheme val="minor"/>
      </rPr>
      <t>trained</t>
    </r>
    <r>
      <rPr>
        <sz val="11"/>
        <color rgb="FF0000CC"/>
        <rFont val="Calibri"/>
        <family val="2"/>
        <scheme val="minor"/>
      </rPr>
      <t xml:space="preserve"> on </t>
    </r>
    <r>
      <rPr>
        <b/>
        <sz val="11"/>
        <color rgb="FF0000CC"/>
        <rFont val="Calibri"/>
        <family val="2"/>
        <scheme val="minor"/>
      </rPr>
      <t>compost hut</t>
    </r>
    <r>
      <rPr>
        <sz val="11"/>
        <color rgb="FF0000CC"/>
        <rFont val="Calibri"/>
        <family val="2"/>
        <scheme val="minor"/>
      </rPr>
      <t xml:space="preserve"> use and management (50% are women) and one (1) national standard and policy of biodigester and bio-slurry developed</t>
    </r>
  </si>
  <si>
    <r>
      <t xml:space="preserve">40,000 people </t>
    </r>
    <r>
      <rPr>
        <b/>
        <sz val="11"/>
        <rFont val="Calibri"/>
        <family val="2"/>
        <scheme val="minor"/>
      </rPr>
      <t>trained on biodigester and compost hut use and management</t>
    </r>
    <r>
      <rPr>
        <sz val="11"/>
        <rFont val="Calibri"/>
        <family val="2"/>
        <scheme val="minor"/>
      </rPr>
      <t xml:space="preserve"> (50% are women) and one (1) national standard and policy of biodigester and bio-slurry developed</t>
    </r>
  </si>
  <si>
    <r>
      <rPr>
        <b/>
        <sz val="11"/>
        <color rgb="FF0000CC"/>
        <rFont val="Calibri"/>
        <family val="2"/>
        <scheme val="minor"/>
      </rPr>
      <t>Three</t>
    </r>
    <r>
      <rPr>
        <sz val="11"/>
        <color rgb="FF0000CC"/>
        <rFont val="Calibri"/>
        <family val="2"/>
        <scheme val="minor"/>
      </rPr>
      <t xml:space="preserve"> additional climate resilient varieties of</t>
    </r>
    <r>
      <rPr>
        <b/>
        <sz val="11"/>
        <color rgb="FF0000CC"/>
        <rFont val="Calibri"/>
        <family val="2"/>
        <scheme val="minor"/>
      </rPr>
      <t xml:space="preserve"> rice released</t>
    </r>
  </si>
  <si>
    <r>
      <rPr>
        <b/>
        <sz val="11"/>
        <color rgb="FF0000CC"/>
        <rFont val="Calibri"/>
        <family val="2"/>
        <scheme val="minor"/>
      </rPr>
      <t>Three</t>
    </r>
    <r>
      <rPr>
        <sz val="11"/>
        <color rgb="FF0000CC"/>
        <rFont val="Calibri"/>
        <family val="2"/>
        <scheme val="minor"/>
      </rPr>
      <t xml:space="preserve"> additional climate resilient varieties of </t>
    </r>
    <r>
      <rPr>
        <b/>
        <sz val="11"/>
        <color rgb="FF0000CC"/>
        <rFont val="Calibri"/>
        <family val="2"/>
        <scheme val="minor"/>
      </rPr>
      <t>maize released</t>
    </r>
  </si>
  <si>
    <r>
      <t xml:space="preserve">At least 40,000 women (or </t>
    </r>
    <r>
      <rPr>
        <b/>
        <sz val="11"/>
        <color rgb="FF0000CC"/>
        <rFont val="Calibri"/>
        <family val="2"/>
        <scheme val="minor"/>
      </rPr>
      <t>50%</t>
    </r>
    <r>
      <rPr>
        <sz val="11"/>
        <color rgb="FF0000CC"/>
        <rFont val="Calibri"/>
        <family val="2"/>
        <scheme val="minor"/>
      </rPr>
      <t xml:space="preserve"> of total beneficiaries) are beneficiaries of </t>
    </r>
    <r>
      <rPr>
        <b/>
        <sz val="11"/>
        <color rgb="FF0000CC"/>
        <rFont val="Calibri"/>
        <family val="2"/>
        <scheme val="minor"/>
      </rPr>
      <t>biodigesters</t>
    </r>
    <r>
      <rPr>
        <sz val="11"/>
        <color rgb="FF0000CC"/>
        <rFont val="Calibri"/>
        <family val="2"/>
        <scheme val="minor"/>
      </rPr>
      <t xml:space="preserve"> installed (baseline:
5,721 women).</t>
    </r>
  </si>
  <si>
    <r>
      <t xml:space="preserve">At least 40,000 women (or </t>
    </r>
    <r>
      <rPr>
        <b/>
        <sz val="11"/>
        <color rgb="FF0000CC"/>
        <rFont val="Calibri"/>
        <family val="2"/>
        <scheme val="minor"/>
      </rPr>
      <t>50</t>
    </r>
    <r>
      <rPr>
        <sz val="11"/>
        <color rgb="FF0000CC"/>
        <rFont val="Calibri"/>
        <family val="2"/>
        <scheme val="minor"/>
      </rPr>
      <t xml:space="preserve">% of total beneficiaries) are beneficiaries of </t>
    </r>
    <r>
      <rPr>
        <b/>
        <sz val="11"/>
        <color rgb="FF0000CC"/>
        <rFont val="Calibri"/>
        <family val="2"/>
        <scheme val="minor"/>
      </rPr>
      <t>compost huts</t>
    </r>
    <r>
      <rPr>
        <sz val="11"/>
        <color rgb="FF0000CC"/>
        <rFont val="Calibri"/>
        <family val="2"/>
        <scheme val="minor"/>
      </rPr>
      <t xml:space="preserve"> installed (baseline:
5,721 women).</t>
    </r>
  </si>
  <si>
    <r>
      <rPr>
        <b/>
        <sz val="11"/>
        <color rgb="FF0000CC"/>
        <rFont val="Calibri"/>
        <family val="2"/>
        <scheme val="minor"/>
      </rPr>
      <t>Number</t>
    </r>
    <r>
      <rPr>
        <sz val="11"/>
        <color rgb="FF0000CC"/>
        <rFont val="Calibri"/>
        <family val="2"/>
        <scheme val="minor"/>
      </rPr>
      <t xml:space="preserve"> of women </t>
    </r>
    <r>
      <rPr>
        <b/>
        <sz val="11"/>
        <color rgb="FF0000CC"/>
        <rFont val="Calibri"/>
        <family val="2"/>
        <scheme val="minor"/>
      </rPr>
      <t>active agents</t>
    </r>
    <r>
      <rPr>
        <sz val="11"/>
        <color rgb="FF0000CC"/>
        <rFont val="Calibri"/>
        <family val="2"/>
        <scheme val="minor"/>
      </rPr>
      <t>.</t>
    </r>
  </si>
  <si>
    <r>
      <rPr>
        <b/>
        <sz val="11"/>
        <color rgb="FF0000CC"/>
        <rFont val="Calibri"/>
        <family val="2"/>
        <scheme val="minor"/>
      </rPr>
      <t>Percentage</t>
    </r>
    <r>
      <rPr>
        <sz val="11"/>
        <color rgb="FF0000CC"/>
        <rFont val="Calibri"/>
        <family val="2"/>
        <scheme val="minor"/>
      </rPr>
      <t xml:space="preserve"> of women </t>
    </r>
    <r>
      <rPr>
        <b/>
        <sz val="11"/>
        <color rgb="FF0000CC"/>
        <rFont val="Calibri"/>
        <family val="2"/>
        <scheme val="minor"/>
      </rPr>
      <t>active agents</t>
    </r>
    <r>
      <rPr>
        <sz val="11"/>
        <color rgb="FF0000CC"/>
        <rFont val="Calibri"/>
        <family val="2"/>
        <scheme val="minor"/>
      </rPr>
      <t>.</t>
    </r>
  </si>
  <si>
    <r>
      <t xml:space="preserve">At least 25% of workdays created will be filled by women disaggregated </t>
    </r>
    <r>
      <rPr>
        <b/>
        <sz val="11"/>
        <color rgb="FF0000CC"/>
        <rFont val="Calibri"/>
        <family val="2"/>
        <scheme val="minor"/>
      </rPr>
      <t>by skilled</t>
    </r>
    <r>
      <rPr>
        <sz val="11"/>
        <color rgb="FF0000CC"/>
        <rFont val="Calibri"/>
        <family val="2"/>
        <scheme val="minor"/>
      </rPr>
      <t xml:space="preserve"> and type of work.</t>
    </r>
  </si>
  <si>
    <r>
      <t xml:space="preserve">At least 25% of workdays created will be filled by women disaggregated </t>
    </r>
    <r>
      <rPr>
        <b/>
        <sz val="11"/>
        <color rgb="FF0000CC"/>
        <rFont val="Calibri"/>
        <family val="2"/>
        <scheme val="minor"/>
      </rPr>
      <t>by unskilled</t>
    </r>
    <r>
      <rPr>
        <sz val="11"/>
        <color rgb="FF0000CC"/>
        <rFont val="Calibri"/>
        <family val="2"/>
        <scheme val="minor"/>
      </rPr>
      <t xml:space="preserve"> and type of work.</t>
    </r>
  </si>
  <si>
    <r>
      <t xml:space="preserve">Workdays created will be filled by women disaggregated by skilled/unskilled and type of work  (point of reference: women’s current involvement in similar infrastructure related work varying </t>
    </r>
    <r>
      <rPr>
        <b/>
        <sz val="11"/>
        <color rgb="FF0000CC"/>
        <rFont val="Calibri"/>
        <family val="2"/>
        <scheme val="minor"/>
      </rPr>
      <t>between 17% to 46%</t>
    </r>
    <r>
      <rPr>
        <sz val="11"/>
        <color rgb="FF0000CC"/>
        <rFont val="Calibri"/>
        <family val="2"/>
        <scheme val="minor"/>
      </rPr>
      <t>)</t>
    </r>
  </si>
  <si>
    <r>
      <t xml:space="preserve">Women are </t>
    </r>
    <r>
      <rPr>
        <b/>
        <sz val="11"/>
        <color rgb="FF0000CC"/>
        <rFont val="Calibri"/>
        <family val="2"/>
        <scheme val="minor"/>
      </rPr>
      <t>54%</t>
    </r>
    <r>
      <rPr>
        <sz val="11"/>
        <color rgb="FF0000CC"/>
        <rFont val="Calibri"/>
        <family val="2"/>
        <scheme val="minor"/>
      </rPr>
      <t xml:space="preserve"> of total participants in </t>
    </r>
    <r>
      <rPr>
        <b/>
        <sz val="11"/>
        <color rgb="FF0000CC"/>
        <rFont val="Calibri"/>
        <family val="2"/>
        <scheme val="minor"/>
      </rPr>
      <t>subproject 1</t>
    </r>
    <r>
      <rPr>
        <sz val="11"/>
        <color rgb="FF0000CC"/>
        <rFont val="Calibri"/>
        <family val="2"/>
        <scheme val="minor"/>
      </rPr>
      <t xml:space="preserve"> </t>
    </r>
  </si>
  <si>
    <r>
      <t xml:space="preserve">Women are </t>
    </r>
    <r>
      <rPr>
        <b/>
        <sz val="11"/>
        <color rgb="FF0000CC"/>
        <rFont val="Calibri"/>
        <family val="2"/>
        <scheme val="minor"/>
      </rPr>
      <t xml:space="preserve">47% </t>
    </r>
    <r>
      <rPr>
        <sz val="11"/>
        <color rgb="FF0000CC"/>
        <rFont val="Calibri"/>
        <family val="2"/>
        <scheme val="minor"/>
      </rPr>
      <t xml:space="preserve">of total participants in </t>
    </r>
    <r>
      <rPr>
        <b/>
        <sz val="11"/>
        <color rgb="FF0000CC"/>
        <rFont val="Calibri"/>
        <family val="2"/>
        <scheme val="minor"/>
      </rPr>
      <t>subproject 2</t>
    </r>
    <r>
      <rPr>
        <sz val="11"/>
        <color rgb="FF0000CC"/>
        <rFont val="Calibri"/>
        <family val="2"/>
        <scheme val="minor"/>
      </rPr>
      <t xml:space="preserve"> </t>
    </r>
  </si>
  <si>
    <r>
      <t xml:space="preserve">Women are </t>
    </r>
    <r>
      <rPr>
        <b/>
        <sz val="11"/>
        <color rgb="FF0000CC"/>
        <rFont val="Calibri"/>
        <family val="2"/>
        <scheme val="minor"/>
      </rPr>
      <t xml:space="preserve">48% </t>
    </r>
    <r>
      <rPr>
        <sz val="11"/>
        <color rgb="FF0000CC"/>
        <rFont val="Calibri"/>
        <family val="2"/>
        <scheme val="minor"/>
      </rPr>
      <t>of total participants in</t>
    </r>
    <r>
      <rPr>
        <b/>
        <sz val="11"/>
        <color rgb="FF0000CC"/>
        <rFont val="Calibri"/>
        <family val="2"/>
        <scheme val="minor"/>
      </rPr>
      <t xml:space="preserve"> subproject 3</t>
    </r>
    <r>
      <rPr>
        <sz val="11"/>
        <color rgb="FF0000CC"/>
        <rFont val="Calibri"/>
        <family val="2"/>
        <scheme val="minor"/>
      </rPr>
      <t xml:space="preserve"> </t>
    </r>
  </si>
  <si>
    <r>
      <rPr>
        <b/>
        <sz val="11"/>
        <color rgb="FF0000CC"/>
        <rFont val="Calibri"/>
        <family val="2"/>
        <scheme val="minor"/>
      </rPr>
      <t>30%</t>
    </r>
    <r>
      <rPr>
        <sz val="11"/>
        <color rgb="FF0000CC"/>
        <rFont val="Calibri"/>
        <family val="2"/>
        <scheme val="minor"/>
      </rPr>
      <t xml:space="preserve"> female participation in </t>
    </r>
    <r>
      <rPr>
        <b/>
        <sz val="11"/>
        <color rgb="FF0000CC"/>
        <rFont val="Calibri"/>
        <family val="2"/>
        <scheme val="minor"/>
      </rPr>
      <t>similar activities currently</t>
    </r>
  </si>
  <si>
    <r>
      <t xml:space="preserve">(i) </t>
    </r>
    <r>
      <rPr>
        <b/>
        <sz val="11"/>
        <color rgb="FF0000CC"/>
        <rFont val="Calibri"/>
        <family val="2"/>
        <scheme val="minor"/>
      </rPr>
      <t>Number</t>
    </r>
    <r>
      <rPr>
        <sz val="11"/>
        <color rgb="FF0000CC"/>
        <rFont val="Calibri"/>
        <family val="2"/>
        <scheme val="minor"/>
      </rPr>
      <t xml:space="preserve"> of women farmers </t>
    </r>
    <r>
      <rPr>
        <b/>
        <sz val="11"/>
        <color rgb="FF0000CC"/>
        <rFont val="Calibri"/>
        <family val="2"/>
        <scheme val="minor"/>
      </rPr>
      <t>trained</t>
    </r>
    <r>
      <rPr>
        <sz val="11"/>
        <color rgb="FF0000CC"/>
        <rFont val="Calibri"/>
        <family val="2"/>
        <scheme val="minor"/>
      </rPr>
      <t xml:space="preserve"> in each event(baseline: 0).</t>
    </r>
  </si>
  <si>
    <r>
      <t xml:space="preserve">(i) </t>
    </r>
    <r>
      <rPr>
        <b/>
        <sz val="11"/>
        <color rgb="FF0000CC"/>
        <rFont val="Calibri"/>
        <family val="2"/>
        <scheme val="minor"/>
      </rPr>
      <t>Percentage</t>
    </r>
    <r>
      <rPr>
        <sz val="11"/>
        <color rgb="FF0000CC"/>
        <rFont val="Calibri"/>
        <family val="2"/>
        <scheme val="minor"/>
      </rPr>
      <t xml:space="preserve"> of women farmers </t>
    </r>
    <r>
      <rPr>
        <b/>
        <sz val="11"/>
        <color rgb="FF0000CC"/>
        <rFont val="Calibri"/>
        <family val="2"/>
        <scheme val="minor"/>
      </rPr>
      <t>trained</t>
    </r>
    <r>
      <rPr>
        <sz val="11"/>
        <color rgb="FF0000CC"/>
        <rFont val="Calibri"/>
        <family val="2"/>
        <scheme val="minor"/>
      </rPr>
      <t xml:space="preserve"> in each event(baseline: 0).</t>
    </r>
  </si>
  <si>
    <r>
      <t xml:space="preserve">(ii) women represent 40% of </t>
    </r>
    <r>
      <rPr>
        <b/>
        <sz val="11"/>
        <color rgb="FF0000CC"/>
        <rFont val="Calibri"/>
        <family val="2"/>
        <scheme val="minor"/>
      </rPr>
      <t>increased labor pool</t>
    </r>
    <r>
      <rPr>
        <sz val="11"/>
        <color rgb="FF0000CC"/>
        <rFont val="Calibri"/>
        <family val="2"/>
        <scheme val="minor"/>
      </rPr>
      <t xml:space="preserve"> of individuals </t>
    </r>
    <r>
      <rPr>
        <b/>
        <sz val="11"/>
        <color rgb="FF0000CC"/>
        <rFont val="Calibri"/>
        <family val="2"/>
        <scheme val="minor"/>
      </rPr>
      <t>who can operate agricultural machinery</t>
    </r>
    <r>
      <rPr>
        <sz val="11"/>
        <color rgb="FF0000CC"/>
        <rFont val="Calibri"/>
        <family val="2"/>
        <scheme val="minor"/>
      </rPr>
      <t xml:space="preserve"> over the baseline (baseline: 0).</t>
    </r>
  </si>
  <si>
    <r>
      <t xml:space="preserve">(i) </t>
    </r>
    <r>
      <rPr>
        <b/>
        <sz val="11"/>
        <color rgb="FF0000CC"/>
        <rFont val="Calibri"/>
        <family val="2"/>
        <scheme val="minor"/>
      </rPr>
      <t>Number</t>
    </r>
    <r>
      <rPr>
        <sz val="11"/>
        <color rgb="FF0000CC"/>
        <rFont val="Calibri"/>
        <family val="2"/>
        <scheme val="minor"/>
      </rPr>
      <t xml:space="preserve"> and type of </t>
    </r>
    <r>
      <rPr>
        <b/>
        <sz val="11"/>
        <color rgb="FF0000CC"/>
        <rFont val="Calibri"/>
        <family val="2"/>
        <scheme val="minor"/>
      </rPr>
      <t>activities conducted</t>
    </r>
    <r>
      <rPr>
        <sz val="11"/>
        <color rgb="FF0000CC"/>
        <rFont val="Calibri"/>
        <family val="2"/>
        <scheme val="minor"/>
      </rPr>
      <t xml:space="preserve">; </t>
    </r>
  </si>
  <si>
    <r>
      <t xml:space="preserve">(ii) at least </t>
    </r>
    <r>
      <rPr>
        <b/>
        <sz val="11"/>
        <color rgb="FF0000CC"/>
        <rFont val="Calibri"/>
        <family val="2"/>
        <scheme val="minor"/>
      </rPr>
      <t>8,000 women</t>
    </r>
    <r>
      <rPr>
        <sz val="11"/>
        <color rgb="FF0000CC"/>
        <rFont val="Calibri"/>
        <family val="2"/>
        <scheme val="minor"/>
      </rPr>
      <t xml:space="preserve"> farmers (or 50% of total women farmers trained) are </t>
    </r>
    <r>
      <rPr>
        <b/>
        <sz val="11"/>
        <color rgb="FF0000CC"/>
        <rFont val="Calibri"/>
        <family val="2"/>
        <scheme val="minor"/>
      </rPr>
      <t>SRP compliant with direct links to millers and exporters</t>
    </r>
    <r>
      <rPr>
        <sz val="11"/>
        <color rgb="FF0000CC"/>
        <rFont val="Calibri"/>
        <family val="2"/>
        <scheme val="minor"/>
      </rPr>
      <t>.</t>
    </r>
  </si>
  <si>
    <r>
      <t>(ii) Types of</t>
    </r>
    <r>
      <rPr>
        <b/>
        <sz val="11"/>
        <color rgb="FF0000CC"/>
        <rFont val="Calibri"/>
        <family val="2"/>
        <scheme val="minor"/>
      </rPr>
      <t xml:space="preserve"> communication channels and materials used</t>
    </r>
    <r>
      <rPr>
        <sz val="11"/>
        <color rgb="FF0000CC"/>
        <rFont val="Calibri"/>
        <family val="2"/>
        <scheme val="minor"/>
      </rPr>
      <t xml:space="preserve"> on climate risk sharing instruments.</t>
    </r>
  </si>
  <si>
    <r>
      <t>(iii) 15 female staff in</t>
    </r>
    <r>
      <rPr>
        <b/>
        <sz val="11"/>
        <color rgb="FF0000CC"/>
        <rFont val="Calibri"/>
        <family val="2"/>
        <scheme val="minor"/>
      </rPr>
      <t xml:space="preserve"> financial institutions trained in CSA</t>
    </r>
    <r>
      <rPr>
        <sz val="11"/>
        <color rgb="FF0000CC"/>
        <rFont val="Calibri"/>
        <family val="2"/>
        <scheme val="minor"/>
      </rPr>
      <t xml:space="preserve"> lending are women);</t>
    </r>
  </si>
  <si>
    <r>
      <t>(iii) 15 female staff in f</t>
    </r>
    <r>
      <rPr>
        <b/>
        <sz val="11"/>
        <color rgb="FF0000CC"/>
        <rFont val="Calibri"/>
        <family val="2"/>
        <scheme val="minor"/>
      </rPr>
      <t>inancial institutions trained in Green finance</t>
    </r>
    <r>
      <rPr>
        <sz val="11"/>
        <color rgb="FF0000CC"/>
        <rFont val="Calibri"/>
        <family val="2"/>
        <scheme val="minor"/>
      </rPr>
      <t xml:space="preserve"> (or 30% of total staff trained) are women;</t>
    </r>
  </si>
  <si>
    <r>
      <t xml:space="preserve">(iv) 10 (or 30% of total </t>
    </r>
    <r>
      <rPr>
        <b/>
        <sz val="11"/>
        <color rgb="FF0000CC"/>
        <rFont val="Calibri"/>
        <family val="2"/>
        <scheme val="minor"/>
      </rPr>
      <t>privately-owned enterprises</t>
    </r>
    <r>
      <rPr>
        <sz val="11"/>
        <color rgb="FF0000CC"/>
        <rFont val="Calibri"/>
        <family val="2"/>
        <scheme val="minor"/>
      </rPr>
      <t xml:space="preserve"> trained) </t>
    </r>
    <r>
      <rPr>
        <b/>
        <sz val="11"/>
        <color rgb="FF0000CC"/>
        <rFont val="Calibri"/>
        <family val="2"/>
        <scheme val="minor"/>
      </rPr>
      <t>women-led</t>
    </r>
    <r>
      <rPr>
        <sz val="11"/>
        <color rgb="FF0000CC"/>
        <rFont val="Calibri"/>
        <family val="2"/>
        <scheme val="minor"/>
      </rPr>
      <t xml:space="preserve"> and/or owned enterprises</t>
    </r>
    <r>
      <rPr>
        <b/>
        <sz val="11"/>
        <color rgb="FF0000CC"/>
        <rFont val="Calibri"/>
        <family val="2"/>
        <scheme val="minor"/>
      </rPr>
      <t xml:space="preserve"> trained</t>
    </r>
    <r>
      <rPr>
        <sz val="11"/>
        <color rgb="FF0000CC"/>
        <rFont val="Calibri"/>
        <family val="2"/>
        <scheme val="minor"/>
      </rPr>
      <t xml:space="preserve"> on</t>
    </r>
    <r>
      <rPr>
        <b/>
        <sz val="11"/>
        <color rgb="FF0000CC"/>
        <rFont val="Calibri"/>
        <family val="2"/>
        <scheme val="minor"/>
      </rPr>
      <t xml:space="preserve"> Green finance</t>
    </r>
    <r>
      <rPr>
        <sz val="11"/>
        <color rgb="FF0000CC"/>
        <rFont val="Calibri"/>
        <family val="2"/>
        <scheme val="minor"/>
      </rPr>
      <t>;.</t>
    </r>
  </si>
  <si>
    <r>
      <t xml:space="preserve">(iv) 10 (or 30% of total </t>
    </r>
    <r>
      <rPr>
        <b/>
        <sz val="11"/>
        <color rgb="FF0000CC"/>
        <rFont val="Calibri"/>
        <family val="2"/>
        <scheme val="minor"/>
      </rPr>
      <t xml:space="preserve">privately-owned enterprises </t>
    </r>
    <r>
      <rPr>
        <sz val="11"/>
        <color rgb="FF0000CC"/>
        <rFont val="Calibri"/>
        <family val="2"/>
        <scheme val="minor"/>
      </rPr>
      <t>trained)</t>
    </r>
    <r>
      <rPr>
        <b/>
        <sz val="11"/>
        <color rgb="FF0000CC"/>
        <rFont val="Calibri"/>
        <family val="2"/>
        <scheme val="minor"/>
      </rPr>
      <t xml:space="preserve"> women-led</t>
    </r>
    <r>
      <rPr>
        <sz val="11"/>
        <color rgb="FF0000CC"/>
        <rFont val="Calibri"/>
        <family val="2"/>
        <scheme val="minor"/>
      </rPr>
      <t xml:space="preserve"> and/or owned enterprises </t>
    </r>
    <r>
      <rPr>
        <b/>
        <sz val="11"/>
        <color rgb="FF0000CC"/>
        <rFont val="Calibri"/>
        <family val="2"/>
        <scheme val="minor"/>
      </rPr>
      <t>trained</t>
    </r>
    <r>
      <rPr>
        <sz val="11"/>
        <color rgb="FF0000CC"/>
        <rFont val="Calibri"/>
        <family val="2"/>
        <scheme val="minor"/>
      </rPr>
      <t xml:space="preserve"> on </t>
    </r>
    <r>
      <rPr>
        <b/>
        <sz val="11"/>
        <color rgb="FF0000CC"/>
        <rFont val="Calibri"/>
        <family val="2"/>
        <scheme val="minor"/>
      </rPr>
      <t>CSA</t>
    </r>
    <r>
      <rPr>
        <sz val="11"/>
        <color rgb="FF0000CC"/>
        <rFont val="Calibri"/>
        <family val="2"/>
        <scheme val="minor"/>
      </rPr>
      <t>;</t>
    </r>
  </si>
  <si>
    <r>
      <t xml:space="preserve">Women are 40% of total participants (aggregate basis) or at least 16,000 women farmers are </t>
    </r>
    <r>
      <rPr>
        <b/>
        <sz val="11"/>
        <color rgb="FF0000CC"/>
        <rFont val="Calibri"/>
        <family val="2"/>
        <scheme val="minor"/>
      </rPr>
      <t>traine</t>
    </r>
    <r>
      <rPr>
        <sz val="11"/>
        <color rgb="FF0000CC"/>
        <rFont val="Calibri"/>
        <family val="2"/>
        <scheme val="minor"/>
      </rPr>
      <t xml:space="preserve">d in </t>
    </r>
    <r>
      <rPr>
        <b/>
        <sz val="11"/>
        <color rgb="FF0000CC"/>
        <rFont val="Calibri"/>
        <family val="2"/>
        <scheme val="minor"/>
      </rPr>
      <t>CSA</t>
    </r>
    <r>
      <rPr>
        <sz val="11"/>
        <color rgb="FF0000CC"/>
        <rFont val="Calibri"/>
        <family val="2"/>
        <scheme val="minor"/>
      </rPr>
      <t xml:space="preserve"> .</t>
    </r>
  </si>
  <si>
    <r>
      <t xml:space="preserve">Women are 40% of total participants (aggregate basis) or at least 16,000 women farmers are </t>
    </r>
    <r>
      <rPr>
        <b/>
        <sz val="11"/>
        <color rgb="FF0000CC"/>
        <rFont val="Calibri"/>
        <family val="2"/>
        <scheme val="minor"/>
      </rPr>
      <t>trained</t>
    </r>
    <r>
      <rPr>
        <sz val="11"/>
        <color rgb="FF0000CC"/>
        <rFont val="Calibri"/>
        <family val="2"/>
        <scheme val="minor"/>
      </rPr>
      <t xml:space="preserve"> in </t>
    </r>
    <r>
      <rPr>
        <b/>
        <sz val="11"/>
        <color rgb="FF0000CC"/>
        <rFont val="Calibri"/>
        <family val="2"/>
        <scheme val="minor"/>
      </rPr>
      <t>Agribusiness Development Skills</t>
    </r>
    <r>
      <rPr>
        <sz val="11"/>
        <color rgb="FF0000CC"/>
        <rFont val="Calibri"/>
        <family val="2"/>
        <scheme val="minor"/>
      </rPr>
      <t xml:space="preserve"> </t>
    </r>
  </si>
  <si>
    <t>Applied Colors on the Indicators</t>
  </si>
  <si>
    <t xml:space="preserve">Below are some main Activities of each Output,
</t>
  </si>
  <si>
    <t>Achievement in 2020</t>
  </si>
  <si>
    <r>
      <t xml:space="preserve">3e. 20,000 households, including 20,000 women, provided with </t>
    </r>
    <r>
      <rPr>
        <b/>
        <sz val="11"/>
        <color theme="1"/>
        <rFont val="Calibri"/>
        <family val="2"/>
        <scheme val="minor"/>
      </rPr>
      <t>information</t>
    </r>
    <r>
      <rPr>
        <sz val="11"/>
        <color theme="1"/>
        <rFont val="Calibri"/>
        <family val="2"/>
        <scheme val="minor"/>
      </rPr>
      <t xml:space="preserve"> on </t>
    </r>
    <r>
      <rPr>
        <b/>
        <sz val="11"/>
        <color theme="1"/>
        <rFont val="Calibri"/>
        <family val="2"/>
        <scheme val="minor"/>
      </rPr>
      <t>climate risk sharing instruments</t>
    </r>
    <r>
      <rPr>
        <sz val="11"/>
        <color theme="1"/>
        <rFont val="Calibri"/>
        <family val="2"/>
        <scheme val="minor"/>
      </rPr>
      <t xml:space="preserve"> (2017 baseline: 0).</t>
    </r>
  </si>
  <si>
    <t>PPMS annual reports</t>
  </si>
  <si>
    <t>The CFAVC's Physical Progress Database System (PPDS) has its three Implementing Agents include MAFF, MoRAM, MRD, and MEF, which financially supported by the ADB as ADB Loans No.3661/8348-CAM and Grant 0579-CAM, in the four target provinces of KPC, TbK, TAK, and KAM and it is effectively from 28 March 2019 through 31 March 2025, which is implemented by CS1, CS2, CS3, CS4, and CS5. 
The indicators and its outputs have been specified precisely in the sheets of, Output 1, Output 2, Output 3, and DMF's Performant Indicators.
This CFAVC's PPDS is developed and managed by the CFAVC's M&amp;E Unit, which is split up into different PPDS include the CS2's PPDS, MoRAM's PPDS, MRD's PPDS, and those PPDS will be online data entry respectively.</t>
  </si>
  <si>
    <r>
      <rPr>
        <b/>
        <u/>
        <sz val="11"/>
        <color rgb="FF000000"/>
        <rFont val="Arial"/>
        <family val="2"/>
      </rPr>
      <t>Indicators and Outputs Information</t>
    </r>
    <r>
      <rPr>
        <b/>
        <sz val="11"/>
        <color rgb="FF000000"/>
        <rFont val="Arial"/>
        <family val="2"/>
      </rPr>
      <t xml:space="preserve">,
</t>
    </r>
    <r>
      <rPr>
        <sz val="11"/>
        <color rgb="FF000000"/>
        <rFont val="Arial"/>
        <family val="2"/>
      </rPr>
      <t xml:space="preserve">The CFAVC's Project has 19 Performant Monitoring Indicators to be tracked, which categorized into One Outcome, and three Outputs as follows,
1. Outcome has 3 Outcome Indicators (Sheet of DMF Performant Indicators);
2. Output 1 has 6 Output Indicators (Sheet of DMF Performant Indicators);
3. Output 2 has 4 Output Indicators (Sheet of DMF Performant Indicators);
4. Output 3 has 6 Output Indicators (Sheet of DMF Performant Indicators).
Beside these above 19 indicators, the Project also has 14 additional Gender Social Dimension's Performant Indicators are tracked (Sheet of DMF Performant Indicators).
All these indicators and its progress needs to submit as the PPMS Semi-annual monitoring report to ADB, firstly in 30 July of the current fiscal year, and secondly in 30 January of the next fiscal year. 
Under Outputs levels, there are 8 main activities under the output 1; 6 main activities under output 2; and 7 main activities under output 3 as seen in picture below.
For the routine tracking of the CFAVC DFM's Indicators progress, the project has prepared the monthly outputs progressed tracking (as seen in the sheets of, Output 1, Output 2, Output 3 of this file), which called "Physical Progress Databases", which implemented by e.Gen company, MoWRAM, &amp; MRD.
After the monthly data entry of Activities progress of the 3 Outputs, by the relevant CSs, then the DMF Performant Indicators progress have been automatically links to the Sheets of, 1. DFM Progress, 2. IAs Progress (Implementing Agencies), 3. MEF Progress(Ministry of Economic and Finance), as well as the Progress of DMF Performant Indicators but its narrative progress and the explanation of the reasons of its respective variation will be completed by the responsible CSs.  
</t>
    </r>
  </si>
  <si>
    <r>
      <rPr>
        <b/>
        <u/>
        <sz val="11"/>
        <color rgb="FF000000"/>
        <rFont val="Arial"/>
        <family val="2"/>
      </rPr>
      <t>The process of PPDS Management,</t>
    </r>
    <r>
      <rPr>
        <sz val="11"/>
        <color rgb="FF000000"/>
        <rFont val="Arial"/>
        <family val="2"/>
      </rPr>
      <t xml:space="preserve">
The PPDS is set up and based under the CFAVC's M&amp;E Unit/CS1, which comprises of all CFAVC's indicators of all relevant Consultant Services Groups (CSs) as CS1, CS2, CS3, CS4, and CS5.
All project's PPDS's indicators are split up by respective CS group for the whole project's life, which are monitored as its monthly, quarterly, semesterly, and annually. 
The responsible focal points of each CS group needs to do the data entry of their respective indicators' progress into the sheets of, </t>
    </r>
    <r>
      <rPr>
        <b/>
        <sz val="11"/>
        <color rgb="FF000000"/>
        <rFont val="Arial"/>
        <family val="2"/>
      </rPr>
      <t>Output 1</t>
    </r>
    <r>
      <rPr>
        <sz val="11"/>
        <color rgb="FF000000"/>
        <rFont val="Arial"/>
        <family val="2"/>
      </rPr>
      <t xml:space="preserve">, </t>
    </r>
    <r>
      <rPr>
        <b/>
        <sz val="11"/>
        <color rgb="FF000000"/>
        <rFont val="Arial"/>
        <family val="2"/>
      </rPr>
      <t>Output 2</t>
    </r>
    <r>
      <rPr>
        <sz val="11"/>
        <color rgb="FF000000"/>
        <rFont val="Arial"/>
        <family val="2"/>
      </rPr>
      <t xml:space="preserve">, and </t>
    </r>
    <r>
      <rPr>
        <b/>
        <sz val="11"/>
        <color rgb="FF000000"/>
        <rFont val="Arial"/>
        <family val="2"/>
      </rPr>
      <t>Output 3</t>
    </r>
    <r>
      <rPr>
        <sz val="11"/>
        <color rgb="FF000000"/>
        <rFont val="Arial"/>
        <family val="2"/>
      </rPr>
      <t xml:space="preserve"> in a monthly base.
For the security reasons, all information of all sheets of this PPDS are locked, except the columns of Data entry as </t>
    </r>
    <r>
      <rPr>
        <b/>
        <sz val="11"/>
        <color rgb="FF000000"/>
        <rFont val="Arial"/>
        <family val="2"/>
      </rPr>
      <t>Target</t>
    </r>
    <r>
      <rPr>
        <sz val="11"/>
        <color rgb="FF000000"/>
        <rFont val="Arial"/>
        <family val="2"/>
      </rPr>
      <t xml:space="preserve">, and </t>
    </r>
    <r>
      <rPr>
        <b/>
        <sz val="11"/>
        <color rgb="FF000000"/>
        <rFont val="Arial"/>
        <family val="2"/>
      </rPr>
      <t>Actual progress</t>
    </r>
    <r>
      <rPr>
        <sz val="11"/>
        <color rgb="FF000000"/>
        <rFont val="Arial"/>
        <family val="2"/>
      </rPr>
      <t xml:space="preserve"> of the current month only, especially for the sheets of, </t>
    </r>
    <r>
      <rPr>
        <b/>
        <sz val="11"/>
        <color rgb="FF000000"/>
        <rFont val="Arial"/>
        <family val="2"/>
      </rPr>
      <t>Output 1</t>
    </r>
    <r>
      <rPr>
        <sz val="11"/>
        <color rgb="FF000000"/>
        <rFont val="Arial"/>
        <family val="2"/>
      </rPr>
      <t xml:space="preserve">, </t>
    </r>
    <r>
      <rPr>
        <b/>
        <sz val="11"/>
        <color rgb="FF000000"/>
        <rFont val="Arial"/>
        <family val="2"/>
      </rPr>
      <t>Output 2</t>
    </r>
    <r>
      <rPr>
        <sz val="11"/>
        <color rgb="FF000000"/>
        <rFont val="Arial"/>
        <family val="2"/>
      </rPr>
      <t xml:space="preserve">, and </t>
    </r>
    <r>
      <rPr>
        <b/>
        <sz val="11"/>
        <color rgb="FF000000"/>
        <rFont val="Arial"/>
        <family val="2"/>
      </rPr>
      <t>Output 3</t>
    </r>
    <r>
      <rPr>
        <sz val="11"/>
        <color rgb="FF000000"/>
        <rFont val="Arial"/>
        <family val="2"/>
      </rPr>
      <t xml:space="preserve">. </t>
    </r>
  </si>
  <si>
    <r>
      <t xml:space="preserve">During the current month of the data entry, and for the security reasons, the previous information as Target and Actual Progress are locked.
The progresses of sheets of, 1. DMF Progress, 2. IAs Progress, and 3. MEF Progress are locked for all information because the CSs' focal points don't need to touch those information and they are automatically generated its respective progress from those sheets of, Output 1, Output 2, and Output 3.
</t>
    </r>
    <r>
      <rPr>
        <sz val="11"/>
        <color rgb="FF0000CC"/>
        <rFont val="Arial"/>
        <family val="2"/>
      </rPr>
      <t xml:space="preserve">The PPDS is stored online and its monthly progress updated must be completed on </t>
    </r>
    <r>
      <rPr>
        <b/>
        <u/>
        <sz val="11"/>
        <color rgb="FF0000CC"/>
        <rFont val="Arial"/>
        <family val="2"/>
      </rPr>
      <t>25th of each current month</t>
    </r>
    <r>
      <rPr>
        <sz val="11"/>
        <color rgb="FF0000CC"/>
        <rFont val="Arial"/>
        <family val="2"/>
      </rPr>
      <t xml:space="preserve"> by the CSs' focal points.
</t>
    </r>
    <r>
      <rPr>
        <sz val="11"/>
        <color rgb="FF000000"/>
        <rFont val="Arial"/>
        <family val="2"/>
      </rPr>
      <t xml:space="preserve">
The application of the PPDS is trained to all relevant CSs' staff properly for consistent understanding and its applied.</t>
    </r>
  </si>
  <si>
    <r>
      <rPr>
        <b/>
        <u/>
        <sz val="11"/>
        <color rgb="FF000000"/>
        <rFont val="Arial"/>
        <family val="2"/>
      </rPr>
      <t>The Measurement scales</t>
    </r>
    <r>
      <rPr>
        <sz val="11"/>
        <color rgb="FF000000"/>
        <rFont val="Arial"/>
        <family val="2"/>
      </rPr>
      <t xml:space="preserve">,
Each indicator has its respective </t>
    </r>
    <r>
      <rPr>
        <b/>
        <sz val="11"/>
        <color rgb="FF000000"/>
        <rFont val="Arial"/>
        <family val="2"/>
      </rPr>
      <t>Definition</t>
    </r>
    <r>
      <rPr>
        <sz val="11"/>
        <color rgb="FF000000"/>
        <rFont val="Arial"/>
        <family val="2"/>
      </rPr>
      <t xml:space="preserve">, </t>
    </r>
    <r>
      <rPr>
        <b/>
        <sz val="11"/>
        <color rgb="FF000000"/>
        <rFont val="Arial"/>
        <family val="2"/>
      </rPr>
      <t>Baseline</t>
    </r>
    <r>
      <rPr>
        <sz val="11"/>
        <color rgb="FF000000"/>
        <rFont val="Arial"/>
        <family val="2"/>
      </rPr>
      <t xml:space="preserve">, </t>
    </r>
    <r>
      <rPr>
        <b/>
        <sz val="11"/>
        <color rgb="FF000000"/>
        <rFont val="Arial"/>
        <family val="2"/>
      </rPr>
      <t>Target</t>
    </r>
    <r>
      <rPr>
        <sz val="11"/>
        <color rgb="FF000000"/>
        <rFont val="Arial"/>
        <family val="2"/>
      </rPr>
      <t xml:space="preserve">, </t>
    </r>
    <r>
      <rPr>
        <b/>
        <sz val="11"/>
        <color rgb="FF000000"/>
        <rFont val="Arial"/>
        <family val="2"/>
      </rPr>
      <t>Sub-Weight</t>
    </r>
    <r>
      <rPr>
        <sz val="11"/>
        <color rgb="FF000000"/>
        <rFont val="Arial"/>
        <family val="2"/>
      </rPr>
      <t xml:space="preserve">,
The progress of each monthly indicator is calculated as its formulation below,
           </t>
    </r>
    <r>
      <rPr>
        <sz val="11"/>
        <color rgb="FF0000CC"/>
        <rFont val="Arial"/>
        <family val="2"/>
      </rPr>
      <t>Monthly Weight Progress (%) = [(</t>
    </r>
    <r>
      <rPr>
        <b/>
        <sz val="11"/>
        <color rgb="FF0000CC"/>
        <rFont val="Arial"/>
        <family val="2"/>
      </rPr>
      <t>Monthly Actual Progress</t>
    </r>
    <r>
      <rPr>
        <b/>
        <sz val="14"/>
        <color rgb="FF0000CC"/>
        <rFont val="Arial"/>
        <family val="2"/>
      </rPr>
      <t>/</t>
    </r>
    <r>
      <rPr>
        <b/>
        <sz val="11"/>
        <color rgb="FF0000CC"/>
        <rFont val="Arial"/>
        <family val="2"/>
      </rPr>
      <t>Total Target</t>
    </r>
    <r>
      <rPr>
        <sz val="11"/>
        <color rgb="FF0000CC"/>
        <rFont val="Arial"/>
        <family val="2"/>
      </rPr>
      <t xml:space="preserve">) </t>
    </r>
    <r>
      <rPr>
        <sz val="14"/>
        <color rgb="FF0000CC"/>
        <rFont val="Arial"/>
        <family val="2"/>
      </rPr>
      <t>*</t>
    </r>
    <r>
      <rPr>
        <sz val="11"/>
        <color rgb="FF0000CC"/>
        <rFont val="Arial"/>
        <family val="2"/>
      </rPr>
      <t xml:space="preserve"> its </t>
    </r>
    <r>
      <rPr>
        <b/>
        <sz val="11"/>
        <color rgb="FF0000CC"/>
        <rFont val="Arial"/>
        <family val="2"/>
      </rPr>
      <t>Sub-Weight</t>
    </r>
    <r>
      <rPr>
        <sz val="11"/>
        <color rgb="FF0000CC"/>
        <rFont val="Arial"/>
        <family val="2"/>
      </rPr>
      <t>]</t>
    </r>
    <r>
      <rPr>
        <sz val="11"/>
        <color rgb="FF000000"/>
        <rFont val="Arial"/>
        <family val="2"/>
      </rPr>
      <t xml:space="preserve">
The progress monitoring focus on the </t>
    </r>
    <r>
      <rPr>
        <sz val="11"/>
        <color rgb="FF0000CC"/>
        <rFont val="Arial"/>
        <family val="2"/>
      </rPr>
      <t>Monthly weighted Progress</t>
    </r>
    <r>
      <rPr>
        <sz val="11"/>
        <color rgb="FF000000"/>
        <rFont val="Arial"/>
        <family val="2"/>
      </rPr>
      <t xml:space="preserve">, and its interim </t>
    </r>
    <r>
      <rPr>
        <sz val="11"/>
        <color rgb="FF0000CC"/>
        <rFont val="Arial"/>
        <family val="2"/>
      </rPr>
      <t>cumulative weighted progress</t>
    </r>
    <r>
      <rPr>
        <sz val="11"/>
        <color rgb="FF000000"/>
        <rFont val="Arial"/>
        <family val="2"/>
      </rPr>
      <t>.</t>
    </r>
  </si>
  <si>
    <r>
      <rPr>
        <b/>
        <u/>
        <sz val="11"/>
        <color rgb="FF000000"/>
        <rFont val="Arial"/>
        <family val="2"/>
      </rPr>
      <t>Abbreviation of all provinces in Cambodia</t>
    </r>
    <r>
      <rPr>
        <b/>
        <sz val="11"/>
        <color rgb="FF000000"/>
        <rFont val="Arial"/>
        <family val="2"/>
      </rPr>
      <t>,</t>
    </r>
    <r>
      <rPr>
        <sz val="11"/>
        <color rgb="FF000000"/>
        <rFont val="Arial"/>
        <family val="2"/>
      </rPr>
      <t xml:space="preserve">
1. </t>
    </r>
    <r>
      <rPr>
        <b/>
        <sz val="11"/>
        <color rgb="FF000000"/>
        <rFont val="Arial"/>
        <family val="2"/>
      </rPr>
      <t>PNP</t>
    </r>
    <r>
      <rPr>
        <sz val="11"/>
        <color rgb="FF000000"/>
        <rFont val="Arial"/>
        <family val="2"/>
      </rPr>
      <t xml:space="preserve"> - </t>
    </r>
    <r>
      <rPr>
        <b/>
        <sz val="11"/>
        <color rgb="FF000000"/>
        <rFont val="Arial"/>
        <family val="2"/>
      </rPr>
      <t>Phnom Penh</t>
    </r>
    <r>
      <rPr>
        <sz val="11"/>
        <color rgb="FF000000"/>
        <rFont val="Arial"/>
        <family val="2"/>
      </rPr>
      <t xml:space="preserve">; 2. KPT - Kampong Thom; 3. PVH - Preah Vihear; 4. KRT - Kratie; 5. STR - Steung Treng; 6. OMC - Odor Meanchey; 7. KKG - Koh Kong; 8. </t>
    </r>
    <r>
      <rPr>
        <b/>
        <sz val="11"/>
        <color rgb="FF000000"/>
        <rFont val="Arial"/>
        <family val="2"/>
      </rPr>
      <t>KPC</t>
    </r>
    <r>
      <rPr>
        <sz val="11"/>
        <color rgb="FF000000"/>
        <rFont val="Arial"/>
        <family val="2"/>
      </rPr>
      <t xml:space="preserve"> </t>
    </r>
    <r>
      <rPr>
        <b/>
        <sz val="11"/>
        <color rgb="FF000000"/>
        <rFont val="Arial"/>
        <family val="2"/>
      </rPr>
      <t>- Kampong Cham</t>
    </r>
    <r>
      <rPr>
        <sz val="11"/>
        <color rgb="FF000000"/>
        <rFont val="Arial"/>
        <family val="2"/>
      </rPr>
      <t xml:space="preserve">; 9. MDK - Mondulkiri; 10. RAT - Rattanakiri; 11. PUR - Pursat; 12. BAT - Battambang; 13. BMC - Banteay Meanchey; 14. KPS - Kampong Speu; 15. SRP - Siem Reap; 16. </t>
    </r>
    <r>
      <rPr>
        <b/>
        <sz val="11"/>
        <color rgb="FF000000"/>
        <rFont val="Arial"/>
        <family val="2"/>
      </rPr>
      <t>KCN - Kampong Chnang</t>
    </r>
    <r>
      <rPr>
        <sz val="11"/>
        <color rgb="FF000000"/>
        <rFont val="Arial"/>
        <family val="2"/>
      </rPr>
      <t xml:space="preserve">; 17. KAM - Kampot; 18. KDL - Kandal; 19. PVG - Prey Veng; 20. SHV - Shihanuk Ville; 21. SVR - Svay Rieng; 22. </t>
    </r>
    <r>
      <rPr>
        <b/>
        <sz val="11"/>
        <color rgb="FF000000"/>
        <rFont val="Arial"/>
        <family val="2"/>
      </rPr>
      <t>TAK - Takeo</t>
    </r>
    <r>
      <rPr>
        <sz val="11"/>
        <color rgb="FF000000"/>
        <rFont val="Arial"/>
        <family val="2"/>
      </rPr>
      <t xml:space="preserve">; 23. KEP - Kep; 24. PLN - Pailin; 25. </t>
    </r>
    <r>
      <rPr>
        <b/>
        <sz val="11"/>
        <color rgb="FF000000"/>
        <rFont val="Arial"/>
        <family val="2"/>
      </rPr>
      <t>TBK - Tbong Khmum</t>
    </r>
    <r>
      <rPr>
        <sz val="11"/>
        <color rgb="FF000000"/>
        <rFont val="Arial"/>
        <family val="2"/>
      </rPr>
      <t>.</t>
    </r>
  </si>
  <si>
    <r>
      <t xml:space="preserve">farmers are </t>
    </r>
    <r>
      <rPr>
        <b/>
        <sz val="11"/>
        <color rgb="FF0000CC"/>
        <rFont val="Calibri"/>
        <family val="2"/>
        <scheme val="minor"/>
      </rPr>
      <t>trained</t>
    </r>
    <r>
      <rPr>
        <sz val="11"/>
        <color rgb="FF0000CC"/>
        <rFont val="Calibri"/>
        <family val="2"/>
        <scheme val="minor"/>
      </rPr>
      <t xml:space="preserve"> on </t>
    </r>
    <r>
      <rPr>
        <b/>
        <sz val="11"/>
        <color rgb="FF0000CC"/>
        <rFont val="Calibri"/>
        <family val="2"/>
        <scheme val="minor"/>
      </rPr>
      <t>CAMGAP compliant</t>
    </r>
    <r>
      <rPr>
        <sz val="11"/>
        <color rgb="FF0000CC"/>
        <rFont val="Calibri"/>
        <family val="2"/>
        <scheme val="minor"/>
      </rPr>
      <t xml:space="preserve"> </t>
    </r>
  </si>
  <si>
    <t>Agribusiness and Gender responsive policy</t>
  </si>
  <si>
    <t>CSA Policy</t>
  </si>
  <si>
    <t>PAM's DMF Indicators  Codes</t>
  </si>
  <si>
    <t>No. of indicators</t>
  </si>
  <si>
    <t>No PP</t>
  </si>
  <si>
    <t>3g</t>
  </si>
  <si>
    <t>No DMF</t>
  </si>
  <si>
    <t>OP.3.7</t>
  </si>
  <si>
    <t>Add more</t>
  </si>
  <si>
    <t>MTR</t>
  </si>
  <si>
    <r>
      <t>2c. 27 FWUCs/FWUGs made operational and 500 FWUC/FWUG members (of which 30% women) developed capacity to operate and maintain their irrigation schemes (2017 baseline: 0).</t>
    </r>
    <r>
      <rPr>
        <sz val="11"/>
        <color rgb="FFD60093"/>
        <rFont val="Calibri"/>
        <family val="2"/>
        <scheme val="minor"/>
      </rPr>
      <t xml:space="preserve"> by MoWRAM</t>
    </r>
  </si>
  <si>
    <t>Add next</t>
  </si>
  <si>
    <r>
      <rPr>
        <b/>
        <sz val="11"/>
        <color rgb="FF0000CC"/>
        <rFont val="Calibri"/>
        <family val="2"/>
        <scheme val="minor"/>
      </rPr>
      <t xml:space="preserve"> 27 FWUCs/FWUGs</t>
    </r>
    <r>
      <rPr>
        <sz val="11"/>
        <color rgb="FF0000CC"/>
        <rFont val="Calibri"/>
        <family val="2"/>
        <scheme val="minor"/>
      </rPr>
      <t xml:space="preserve"> made operational and maintain their irrigation schemes (2017 baseline: 0). by MoWRAM</t>
    </r>
  </si>
  <si>
    <t xml:space="preserve"> Soeur Sophorn - CS2</t>
  </si>
  <si>
    <t xml:space="preserve">2d. 4 provincial agricultural development centers and 4 engineering workshops made fully operational to provide agribusiness services and strengthen farmer value chain linkages (2017 baseline: 0). </t>
  </si>
  <si>
    <r>
      <t>1c. At least 250 km of farm</t>
    </r>
    <r>
      <rPr>
        <b/>
        <sz val="11"/>
        <rFont val="Calibri"/>
        <family val="2"/>
        <scheme val="minor"/>
      </rPr>
      <t xml:space="preserve"> road</t>
    </r>
    <r>
      <rPr>
        <sz val="11"/>
        <rFont val="Calibri"/>
        <family val="2"/>
        <scheme val="minor"/>
      </rPr>
      <t xml:space="preserve"> networks upgraded to climate standards to improve connectivity of farms to cooperatives and markets (2017 baseline: 0).</t>
    </r>
  </si>
  <si>
    <t>Total Actual Achieved</t>
  </si>
  <si>
    <t>2C1</t>
  </si>
  <si>
    <t>2C2</t>
  </si>
  <si>
    <t>2d1</t>
  </si>
  <si>
    <t>2d2</t>
  </si>
  <si>
    <t>First Six-Monthly (January - June ) Cumulative Progress in 2021</t>
  </si>
  <si>
    <r>
      <t>Cummulative Progress Trackin</t>
    </r>
    <r>
      <rPr>
        <sz val="10"/>
        <color rgb="FF000000"/>
        <rFont val="Arial"/>
        <family val="2"/>
      </rPr>
      <t>g to</t>
    </r>
    <r>
      <rPr>
        <b/>
        <sz val="10"/>
        <color rgb="FF000000"/>
        <rFont val="Arial"/>
        <family val="2"/>
      </rPr>
      <t xml:space="preserve"> date in 2020 - 2021</t>
    </r>
  </si>
  <si>
    <r>
      <t xml:space="preserve">Per </t>
    </r>
    <r>
      <rPr>
        <sz val="18"/>
        <color rgb="FF0000CC"/>
        <rFont val="Arial"/>
        <family val="2"/>
      </rPr>
      <t xml:space="preserve">IMPLENTING AGENCY </t>
    </r>
  </si>
  <si>
    <t xml:space="preserve">DMF PROGRESS </t>
  </si>
  <si>
    <t>Assigned Weight (%)</t>
  </si>
  <si>
    <t>First Six-Monthly Cumulative Progress in 2021</t>
  </si>
  <si>
    <t>Second Six-Monthly  Cumulative Progress in 2021</t>
  </si>
  <si>
    <t>Base on the biogas utilization calculation.</t>
  </si>
  <si>
    <t>Water saving (5-10% efficient)</t>
  </si>
  <si>
    <t>Focus on the biogas utilization.</t>
  </si>
  <si>
    <r>
      <t>20% of total 40,000 farmers are</t>
    </r>
    <r>
      <rPr>
        <b/>
        <sz val="11"/>
        <color rgb="FF0000CC"/>
        <rFont val="Calibri"/>
        <family val="2"/>
        <scheme val="minor"/>
      </rPr>
      <t xml:space="preserve"> trained</t>
    </r>
    <r>
      <rPr>
        <sz val="11"/>
        <color rgb="FF0000CC"/>
        <rFont val="Calibri"/>
        <family val="2"/>
        <scheme val="minor"/>
      </rPr>
      <t xml:space="preserve"> on </t>
    </r>
    <r>
      <rPr>
        <b/>
        <sz val="11"/>
        <color rgb="FF0000CC"/>
        <rFont val="Calibri"/>
        <family val="2"/>
        <scheme val="minor"/>
      </rPr>
      <t>Agricultural farm Machinery</t>
    </r>
    <r>
      <rPr>
        <sz val="11"/>
        <color rgb="FF0000CC"/>
        <rFont val="Calibri"/>
        <family val="2"/>
        <scheme val="minor"/>
      </rPr>
      <t xml:space="preserve"> </t>
    </r>
  </si>
  <si>
    <t>ICT Platform</t>
  </si>
  <si>
    <t>To be determined during the reporting period, while the session completed.</t>
  </si>
  <si>
    <t>To be determined during the reporting period.</t>
  </si>
  <si>
    <t>%
Weight Progress</t>
  </si>
  <si>
    <t>%
Cumulative Weight Progress</t>
  </si>
  <si>
    <t>Indicators Narrative  Progress</t>
  </si>
  <si>
    <t>Imlementation of training on green finance inCSA</t>
  </si>
  <si>
    <t>Implementation training  in green finance</t>
  </si>
  <si>
    <t>Develop climate risk sharing mechanism /instrument</t>
  </si>
  <si>
    <t>Awareness raising on weather and climate risk information sharing to communities</t>
  </si>
  <si>
    <t>CFAVC PROJECT's DMF PERFORMANCE INDICATORS TRACKING SYSTEM</t>
  </si>
  <si>
    <t>CFAVC PROJECT's GAP PERFORMANCE INDICATORS REPORT (January - June 2021)</t>
  </si>
  <si>
    <t>Development of standards for organic fertilizer</t>
  </si>
  <si>
    <t>Development of IDP strategies for climate friendly agribusiness</t>
  </si>
  <si>
    <t>National standards on biodigester development</t>
  </si>
  <si>
    <t>% Cumulative Progress to date (2020, 2021)</t>
  </si>
  <si>
    <t>% Cumulative Weight Progress to date 
(2020, 2021)</t>
  </si>
  <si>
    <t xml:space="preserve">27 Irrigation and water management systems rehabilitated and made climate-friendly </t>
  </si>
  <si>
    <t>Overall DMF's Cumulative Weighted Progress (%)</t>
  </si>
  <si>
    <t>Overall TOTAL for all</t>
  </si>
  <si>
    <t xml:space="preserve">At least 250 Km Farm roads upgraded to climate resilient standards to improve Connectivity to Cooperatives and Markets </t>
  </si>
  <si>
    <t>N0</t>
  </si>
  <si>
    <t>Month</t>
  </si>
  <si>
    <t>Monthly Budget Progress
(,000 USD)</t>
  </si>
  <si>
    <t>Cumulative Budget Progress 
(,000 USD)</t>
  </si>
  <si>
    <t>MAFF
Cumulative
(,000 USD)</t>
  </si>
  <si>
    <t>MoWRAM
Cumulative
(,000 USD)</t>
  </si>
  <si>
    <t>MRD
Cumulative
(,000 USD)</t>
  </si>
  <si>
    <t>Unassigned
Cumulative
(,000 USD)</t>
  </si>
  <si>
    <t>Total for all Outputs</t>
  </si>
  <si>
    <t>MEF (%)</t>
  </si>
  <si>
    <t>IAs (%)</t>
  </si>
  <si>
    <t>Budget (%)</t>
  </si>
  <si>
    <t>Starting</t>
  </si>
  <si>
    <t>DMF (%)</t>
  </si>
  <si>
    <t>Output 1 (%)</t>
  </si>
  <si>
    <t>Output 2 (%)</t>
  </si>
  <si>
    <t>Output 3 (%)</t>
  </si>
  <si>
    <r>
      <t>1.1.1 (i) Women are 40% of participants– aggregate basis (point of reference: female population: 54% in s</t>
    </r>
    <r>
      <rPr>
        <b/>
        <sz val="11"/>
        <color theme="1"/>
        <rFont val="Calibri"/>
        <family val="2"/>
        <scheme val="minor"/>
      </rPr>
      <t>ubproject 1</t>
    </r>
    <r>
      <rPr>
        <sz val="11"/>
        <color theme="1"/>
        <rFont val="Calibri"/>
        <family val="2"/>
        <scheme val="minor"/>
      </rPr>
      <t xml:space="preserve">, 47% in </t>
    </r>
    <r>
      <rPr>
        <b/>
        <sz val="11"/>
        <color theme="1"/>
        <rFont val="Calibri"/>
        <family val="2"/>
        <scheme val="minor"/>
      </rPr>
      <t>subproje</t>
    </r>
    <r>
      <rPr>
        <sz val="11"/>
        <color theme="1"/>
        <rFont val="Calibri"/>
        <family val="2"/>
        <scheme val="minor"/>
      </rPr>
      <t xml:space="preserve">ct 2; and 48% in </t>
    </r>
    <r>
      <rPr>
        <b/>
        <sz val="11"/>
        <color theme="1"/>
        <rFont val="Calibri"/>
        <family val="2"/>
        <scheme val="minor"/>
      </rPr>
      <t>subproject 3</t>
    </r>
    <r>
      <rPr>
        <sz val="11"/>
        <color theme="1"/>
        <rFont val="Calibri"/>
        <family val="2"/>
        <scheme val="minor"/>
      </rPr>
      <t xml:space="preserve">; 30% female participation in similar activities currently); (ii) At least 50,000 females benefiting from rehabilitated climate resilient </t>
    </r>
    <r>
      <rPr>
        <b/>
        <sz val="11"/>
        <color theme="1"/>
        <rFont val="Calibri"/>
        <family val="2"/>
        <scheme val="minor"/>
      </rPr>
      <t>irrigation</t>
    </r>
    <r>
      <rPr>
        <sz val="11"/>
        <color theme="1"/>
        <rFont val="Calibri"/>
        <family val="2"/>
        <scheme val="minor"/>
      </rPr>
      <t xml:space="preserve"> and water management systems</t>
    </r>
  </si>
  <si>
    <r>
      <t xml:space="preserve">For 2.1.2 (1) and (3): Women are 40% of total participants (aggregate basis) or at least 16,000 women farmers are trained in </t>
    </r>
    <r>
      <rPr>
        <b/>
        <sz val="11"/>
        <color theme="1"/>
        <rFont val="Calibri"/>
        <family val="2"/>
        <scheme val="minor"/>
      </rPr>
      <t>CSA</t>
    </r>
    <r>
      <rPr>
        <sz val="11"/>
        <color theme="1"/>
        <rFont val="Calibri"/>
        <family val="2"/>
        <scheme val="minor"/>
      </rPr>
      <t xml:space="preserve"> and </t>
    </r>
    <r>
      <rPr>
        <b/>
        <sz val="11"/>
        <color theme="1"/>
        <rFont val="Calibri"/>
        <family val="2"/>
        <scheme val="minor"/>
      </rPr>
      <t>agribusiness development skills</t>
    </r>
    <r>
      <rPr>
        <sz val="11"/>
        <color theme="1"/>
        <rFont val="Calibri"/>
        <family val="2"/>
        <scheme val="minor"/>
      </rPr>
      <t xml:space="preserve"> (point of reference: female population: 54% in </t>
    </r>
    <r>
      <rPr>
        <b/>
        <sz val="11"/>
        <color theme="1"/>
        <rFont val="Calibri"/>
        <family val="2"/>
        <scheme val="minor"/>
      </rPr>
      <t>subproject 1</t>
    </r>
    <r>
      <rPr>
        <sz val="11"/>
        <color theme="1"/>
        <rFont val="Calibri"/>
        <family val="2"/>
        <scheme val="minor"/>
      </rPr>
      <t xml:space="preserve">, 47% in </t>
    </r>
    <r>
      <rPr>
        <b/>
        <sz val="11"/>
        <color theme="1"/>
        <rFont val="Calibri"/>
        <family val="2"/>
        <scheme val="minor"/>
      </rPr>
      <t>subproject 2</t>
    </r>
    <r>
      <rPr>
        <sz val="11"/>
        <color theme="1"/>
        <rFont val="Calibri"/>
        <family val="2"/>
        <scheme val="minor"/>
      </rPr>
      <t xml:space="preserve">; and 48% in </t>
    </r>
    <r>
      <rPr>
        <b/>
        <sz val="11"/>
        <color theme="1"/>
        <rFont val="Calibri"/>
        <family val="2"/>
        <scheme val="minor"/>
      </rPr>
      <t>subproject 3</t>
    </r>
    <r>
      <rPr>
        <sz val="11"/>
        <color theme="1"/>
        <rFont val="Calibri"/>
        <family val="2"/>
        <scheme val="minor"/>
      </rPr>
      <t xml:space="preserve"> with almost all of them farming; 30% female participation in similar activities currently).</t>
    </r>
  </si>
  <si>
    <r>
      <t xml:space="preserve">For 2.1.2 (2): (i) Number and percentage of women farmers </t>
    </r>
    <r>
      <rPr>
        <b/>
        <sz val="11"/>
        <color theme="1"/>
        <rFont val="Calibri"/>
        <family val="2"/>
        <scheme val="minor"/>
      </rPr>
      <t>traine</t>
    </r>
    <r>
      <rPr>
        <sz val="11"/>
        <color theme="1"/>
        <rFont val="Calibri"/>
        <family val="2"/>
        <scheme val="minor"/>
      </rPr>
      <t xml:space="preserve">d in each event; (ii) women represent 40% of increased labor pool of individuals who can operate </t>
    </r>
    <r>
      <rPr>
        <b/>
        <sz val="11"/>
        <color theme="1"/>
        <rFont val="Calibri"/>
        <family val="2"/>
        <scheme val="minor"/>
      </rPr>
      <t xml:space="preserve">agricultural machinery </t>
    </r>
    <r>
      <rPr>
        <sz val="11"/>
        <color theme="1"/>
        <rFont val="Calibri"/>
        <family val="2"/>
        <scheme val="minor"/>
      </rPr>
      <t>over the baseline (baseline: 0).</t>
    </r>
  </si>
  <si>
    <t>2.1.3</t>
  </si>
  <si>
    <r>
      <t xml:space="preserve">2.1.3 (i) Number and type of activities conducted; (ii) at least 8,000 women farmers (or 50% of total women farmers trained) are </t>
    </r>
    <r>
      <rPr>
        <b/>
        <sz val="11"/>
        <color theme="1"/>
        <rFont val="Calibri"/>
        <family val="2"/>
        <scheme val="minor"/>
      </rPr>
      <t>SRP</t>
    </r>
    <r>
      <rPr>
        <sz val="11"/>
        <color theme="1"/>
        <rFont val="Calibri"/>
        <family val="2"/>
        <scheme val="minor"/>
      </rPr>
      <t xml:space="preserve"> compliant with direct links to millers and exporters.</t>
    </r>
  </si>
  <si>
    <t>DMF Performant Milestones/Indicators</t>
  </si>
  <si>
    <t>Heng Sophat</t>
  </si>
  <si>
    <t>No. of GAP indicators</t>
  </si>
  <si>
    <t>GAP Performant Indicators</t>
  </si>
  <si>
    <t>Assigned Weighted</t>
  </si>
  <si>
    <t>Output 1</t>
  </si>
  <si>
    <t>Output 2</t>
  </si>
  <si>
    <t>Output 3</t>
  </si>
  <si>
    <t>Jan. - Jun</t>
  </si>
  <si>
    <t>Jan. - Dec.</t>
  </si>
  <si>
    <t>Jan. - July</t>
  </si>
  <si>
    <t>IAs</t>
  </si>
  <si>
    <t>DMF</t>
  </si>
  <si>
    <t>Overall Accumulated Physical Progress as of Project Implementation To-date</t>
  </si>
  <si>
    <t>Accumulative as of reporting period</t>
  </si>
  <si>
    <t>Solely progress in this month</t>
  </si>
  <si>
    <t>Physical progress vs AWPB 2021</t>
  </si>
  <si>
    <t>15/03/21</t>
  </si>
  <si>
    <t>15/04/21</t>
  </si>
  <si>
    <t>15/05/21</t>
  </si>
  <si>
    <t>15/06/21</t>
  </si>
  <si>
    <t>15/07/21</t>
  </si>
  <si>
    <t>15/08/21</t>
  </si>
  <si>
    <t>15/09/21</t>
  </si>
  <si>
    <t>15/10/21</t>
  </si>
  <si>
    <t>15/11/21</t>
  </si>
  <si>
    <t>15/12/21</t>
  </si>
  <si>
    <t>IPIU</t>
  </si>
  <si>
    <t>Progress</t>
  </si>
  <si>
    <t>PMU</t>
  </si>
  <si>
    <t>Safeguards and Gender</t>
  </si>
  <si>
    <t xml:space="preserve">All </t>
  </si>
  <si>
    <t>Un Assigned</t>
  </si>
  <si>
    <t>As of July 2021</t>
  </si>
  <si>
    <t>As of August 2021</t>
  </si>
  <si>
    <t>As of Sept 2021</t>
  </si>
  <si>
    <t>As of Oct. 2021</t>
  </si>
  <si>
    <t>As of Nov. 2021</t>
  </si>
  <si>
    <t>As of Dec. 2021</t>
  </si>
  <si>
    <t>Original as of July 2021 (Dead formulation)</t>
  </si>
  <si>
    <t>Deviation</t>
  </si>
  <si>
    <t>AWPB &amp; Carry Over from 2020</t>
  </si>
  <si>
    <t>People</t>
  </si>
  <si>
    <r>
      <t>Application of MEF budget (</t>
    </r>
    <r>
      <rPr>
        <sz val="11"/>
        <color rgb="FF0000CC"/>
        <rFont val="Arial"/>
        <family val="2"/>
      </rPr>
      <t>FWUC</t>
    </r>
    <r>
      <rPr>
        <sz val="11"/>
        <rFont val="Arial"/>
        <family val="2"/>
      </rPr>
      <t>)</t>
    </r>
  </si>
  <si>
    <t>Prakas</t>
  </si>
  <si>
    <t>Framework</t>
  </si>
  <si>
    <t>Strategy</t>
  </si>
  <si>
    <t>Rice miller</t>
  </si>
  <si>
    <t>TNA</t>
  </si>
  <si>
    <t>20,000 people trained on biodigester and compost hut use and management (50% are women) and one (1) national standard and policy of biodigester and bio-slurry developed</t>
  </si>
  <si>
    <t>Original beforemodic=fication</t>
  </si>
  <si>
    <t>Overall MEF Accumulated Physical Progress as of Project Implementation to-date</t>
  </si>
  <si>
    <t>TOTAL (%)</t>
  </si>
  <si>
    <t>As of
15/02/21</t>
  </si>
  <si>
    <t>As of
15/03/2021</t>
  </si>
  <si>
    <t>As of
15/04/2021</t>
  </si>
  <si>
    <t>As of
15/05/2021</t>
  </si>
  <si>
    <t>As of
15/06/2021</t>
  </si>
  <si>
    <t>As of
15/07/2021</t>
  </si>
  <si>
    <t>As of
15/08/2021</t>
  </si>
  <si>
    <t>As of
15/09/2021</t>
  </si>
  <si>
    <t>As of
15/10/2021</t>
  </si>
  <si>
    <t>As of
15/11/2021</t>
  </si>
  <si>
    <t>As of
15/12/2021</t>
  </si>
  <si>
    <t>As of
15/01/21</t>
  </si>
  <si>
    <t>Total Assign
Target 
(%)</t>
  </si>
  <si>
    <t>Overall DMF Weight Progress
(%)</t>
  </si>
  <si>
    <t>As of June 2021</t>
  </si>
  <si>
    <t>Beneficiaries (People)</t>
  </si>
  <si>
    <t>Beneficiaries (HHs)</t>
  </si>
  <si>
    <t>Original as of aUG 2021 (Dead formulation)</t>
  </si>
  <si>
    <t>??</t>
  </si>
  <si>
    <r>
      <rPr>
        <b/>
        <sz val="10"/>
        <color rgb="FF000000"/>
        <rFont val="Arial"/>
        <family val="2"/>
      </rPr>
      <t>Third Quarter</t>
    </r>
    <r>
      <rPr>
        <sz val="10"/>
        <color rgb="FF000000"/>
        <rFont val="Arial"/>
        <family val="2"/>
      </rPr>
      <t xml:space="preserve"> DMF's Indicators Progress, Jul. - Sept 2021</t>
    </r>
  </si>
  <si>
    <t>CFAVC PROJECT's DMF PERFORMANCE INDICATORS PROGRESS REPORT (July - September 2021)</t>
  </si>
  <si>
    <t>CFAVC PROJECT's DMF PERFORMANCE INDICATORS PROGRESS REPORT (January - June 2021)</t>
  </si>
  <si>
    <t>%
Overall Accumulative Weight Progress</t>
  </si>
  <si>
    <t>There is no activity progress during this quarter, because it is still waiting for government decision making for which Ministry will be responsible to implement?, as well asthe 15 drips irrigation systems.</t>
  </si>
  <si>
    <t xml:space="preserve">Activity started in progress and on tracking including,
- Prepared training program;
- Re-assessed Lab-equipment;
- Re-designed on lab-renovation drawing.
</t>
  </si>
  <si>
    <t>Activities started progress and in tracking including,
- Completed location selection;
- Completed site survey; 
- Tender file completed;
- Procurement completed;
- Construction is started.</t>
  </si>
  <si>
    <r>
      <rPr>
        <b/>
        <sz val="10"/>
        <color theme="1"/>
        <rFont val="Calibri"/>
        <family val="2"/>
        <scheme val="minor"/>
      </rPr>
      <t>9 Months</t>
    </r>
    <r>
      <rPr>
        <sz val="10"/>
        <color theme="1"/>
        <rFont val="Calibri"/>
        <family val="2"/>
        <scheme val="minor"/>
      </rPr>
      <t xml:space="preserve">
Accumulative Weight Progress
(</t>
    </r>
    <r>
      <rPr>
        <b/>
        <sz val="10"/>
        <color theme="1"/>
        <rFont val="Calibri"/>
        <family val="2"/>
        <scheme val="minor"/>
      </rPr>
      <t>%</t>
    </r>
    <r>
      <rPr>
        <sz val="10"/>
        <color theme="1"/>
        <rFont val="Calibri"/>
        <family val="2"/>
        <scheme val="minor"/>
      </rPr>
      <t>)</t>
    </r>
  </si>
  <si>
    <t>Activity started in progress and on tracking including,
- Identify new eligible clients to purchasing biodigester planned in 2021;
- Procurement for 500 biodigesters are still reviewing and comments from ADB.</t>
  </si>
  <si>
    <t>Activity in progress and on tracking including,
- Identify new eligible clients to purchasing compost huts planned in 2021;
- Procurement for 250 compost huts are still reviewing and comments from ADB.</t>
  </si>
  <si>
    <r>
      <t xml:space="preserve">20,000 people </t>
    </r>
    <r>
      <rPr>
        <b/>
        <sz val="11"/>
        <rFont val="Calibri"/>
        <family val="2"/>
        <scheme val="minor"/>
      </rPr>
      <t>trained on biodigester and compost hut use and management</t>
    </r>
    <r>
      <rPr>
        <sz val="11"/>
        <rFont val="Calibri"/>
        <family val="2"/>
        <scheme val="minor"/>
      </rPr>
      <t xml:space="preserve"> (50% are women) and one (1) national standard and policy of biodigester and bio-slurry developed</t>
    </r>
  </si>
  <si>
    <t>Activity in progress and on tracking including,
-Mentoring and coaching; 
- Publication of promotion and marketing materials;
-  Mentoring/coaching extension;
- Training and capacity building;
- Promotion and marketing;
- Leaflets and information sharing.</t>
  </si>
  <si>
    <t>Activity in progress and on tracking including,
- Prepared training program and scheduling;
- Reviewed training materials.</t>
  </si>
  <si>
    <t>Activity in progress and on tracking including,
- Reviewed training materials;
- Prepared training program and scheduling.</t>
  </si>
  <si>
    <t>This indicator was progress include,
- Completing TOT training on CSA, SRP, CamGAP, BDS, and Farm mechanization, and conservation agriculture;
- Farmer training program and schedule preparation.
More specific by each its sub-indicators were below,</t>
  </si>
  <si>
    <t>Accumulative</t>
  </si>
  <si>
    <t>Inetrim Accumulative Progresses</t>
  </si>
  <si>
    <t>Verified figures on the changing before deviding by 100</t>
  </si>
  <si>
    <t>Overall Progress, by Quarters</t>
  </si>
  <si>
    <t>9Ms</t>
  </si>
  <si>
    <t>2c. 27 FWUCs/FWUGs made operational and 500 FWUC/FWUG members (of which 30% women) developed capacity to operate and maintain their irrigation schemes (2017 baseline: 0).</t>
  </si>
  <si>
    <t>This sub-indicator progress and in tracking in term of, 
- Village meeting for FWUC establishment;
- Villagers meeting for FWUC establishment and FWUC committee selection;
- Established 3 FWUCs in Tboung Khmum province and registered.</t>
  </si>
  <si>
    <t>This sub-indicator in progress and tracking including,
- Preparation training materials on operation;
- Preparation of training materials on maintenance.</t>
  </si>
  <si>
    <t>This indicator was greadually progressed with its respective sub-indicators narrative description as below,</t>
  </si>
  <si>
    <t>The 4 MEW were completed its procurement, the contractor won the bidding was Hout Chheoun Co.,Ltd and the contractor has been introduced to the 4 PDAFF's directors target provinces, as well as the intoroducion to the construction sides. It does hope that the 4 MEWs to start its construction in mid October 2021, while the Khmer Traditional Pchum Bin celebration is completed in early October 2021.</t>
  </si>
  <si>
    <t xml:space="preserve">2d. 4 provincial agricultural development centers (PADC) and 4 Mechnization engineering workshops (MEW) made fully operational to provide agribusiness services and strengthen farmer value chain linkages (2017 baseline: 0). </t>
  </si>
  <si>
    <t>The 4 PADCs were completed its procurement, the contractor won the bidding was Hout Chheoun Co.,Ltd and the contractor has been introduced to the 4 PDAFF's directors target provinces, as well as the intoroducion to the construction sides. It does hope that the 4 PADCs to start its construction in mid October 2021, while the Khmer Traditional Pchum Bin celebration is completed in early October 2021.</t>
  </si>
  <si>
    <t>This indicator was gradually progreesed, which its respective sub-indicators progresses have been narratively described as below,</t>
  </si>
  <si>
    <t>2. Draft CSA policy</t>
  </si>
  <si>
    <t>3. Draft guidance manual for climate neutrality and adaption for agribusiness operation; and 
4. Draft IDP strategy for climate friendly agribusiness</t>
  </si>
  <si>
    <t>Guidance manual for climate neutrality and adaptation standards for agribusiness operation</t>
  </si>
  <si>
    <t>Climate-friendly become more widely utilized with eight of largest Cambodia millers/exporters being part of alliance</t>
  </si>
  <si>
    <t>Standards on CamGAP tropical fruit formation</t>
  </si>
  <si>
    <t xml:space="preserve">This sub-indicator is in progress and on tracking including the TOR development and reviewed by DTL, and Department of Planning and Statistic team, MAFF.
</t>
  </si>
  <si>
    <t>1. Draft of Climate Smart and Gender Responsive Agrib-policy</t>
  </si>
  <si>
    <t>5. Draft PPP framework formulated</t>
  </si>
  <si>
    <t>This indicator was gradually progressed with its respective narratively progress description as below,</t>
  </si>
  <si>
    <t>This sub-indicator is in progress and on tracking including the TOR drafted by DTL and Department of Planning and Statistic team, MAFF.</t>
  </si>
  <si>
    <t>This sub-indicator is in progress and on tracking including the draft PPP framework development, which reviewed by DTL, and Department of Planning and Statistic team, MAFF, as well as the Conduct Feasibility study on crop commoditie.</t>
  </si>
  <si>
    <t>This sub-indicators are in progress and on tracking including the TOR drafted by DTL, and Department of Planning and Statistic, MAFF, as well as the National Standards and policy of biodigester.</t>
  </si>
  <si>
    <t>This sub-indicator was in progress and on tracking including the r​​​​​​​​eviewed relevant documents, and existing CamGAP standard for tropical fruit.</t>
  </si>
  <si>
    <t>This sub-indicator was in progress and on tracking including the r​​​​​​​​eviewed relevant documents, and existing standard for organic fertilizer.</t>
  </si>
  <si>
    <t>This sub-indicator was in progress and on tracking including,
- Reviewed relevant existing document;
- Drafting training material.</t>
  </si>
  <si>
    <t>This indicator was in progress and on tracking including,
- Reviewed relevant existing documents for both sub-indicators;
- Drafting training materials for both sub-indicators.</t>
  </si>
  <si>
    <t>This sub-indicator does not start yet, and it is still waiting for the arrival of the specialist.</t>
  </si>
  <si>
    <t>The EoI for recruitment of the consulting firms were floated in the ADB website and twelve consulting firms submitted their EoIs. The submitted EoIs were under the process of bid evaluation.</t>
  </si>
  <si>
    <t>To be reported at least after the MTR assessment, or by the end of the project completion.</t>
  </si>
  <si>
    <r>
      <t xml:space="preserve">During the reporting period, several achievements were made including,
--- Following up with Civil Works Construction of Trapeang Run Irrigation Subprojects, to date the construction was progressed around 95%;
--- Prepared BER for the CW14.1 Kampong Cham irrigation sub-projects (CFAVC-MOWRAM-KPC-CW14.1) and reviewing of the DED and Feasibility Study Reports;
--- IEE report preparations for CFAVC-MOWRAM-KPC-CW14.1;
--- Supported PMU-MOWRAM on preparation of Topographical Survey for the 18 irrigation subprojects;
--- The bid invitation and bid opening for conducting topographical survey for the irrigation sub-projects planned in 2021 and in 2022;
--- The construction works for the Tuol Pring reservoir irrigation subproject under contract package number: MOWRAM-CFAVC-TBM-CW13.1 has been started with the progress that bush clearance was fully done;
--- The </t>
    </r>
    <r>
      <rPr>
        <b/>
        <sz val="10"/>
        <color theme="1"/>
        <rFont val="Calibri"/>
        <family val="2"/>
        <scheme val="minor"/>
      </rPr>
      <t>feasibility study and detailed engineering design</t>
    </r>
    <r>
      <rPr>
        <sz val="10"/>
        <color theme="1"/>
        <rFont val="Calibri"/>
        <family val="2"/>
        <scheme val="minor"/>
      </rPr>
      <t xml:space="preserve"> have been progressed about 20% for the Takouch irrigation subproject under contract package number MOWRAM-CFAVC-KPT-CW12.1;</t>
    </r>
  </si>
  <si>
    <r>
      <t xml:space="preserve">During the reporting period, several achievement were made including, 
--- Twenty road subprojects under contract package numbers: CW17a-CFAVC-MRD-KP-01-2021  (Package No.5), CW17a-CFAVC-MRD-KP-02-2021 (Package No.9), CW17a-CFAVC-MRD-KP-03-2021(Package No.9), CW17a-CFAVC-MRD-KP-04-2021 (Package No.5), CW17b-CFAVC-MRD-TK01-2021(Package No.10), CW17b-CFAVC-MRD-TK02-2021(Package No.6), CW17b-CFAVC-MRD-TK03-2021(Package No.6), CW17b-CFAVC-MRD-TK04-2021(Package No.10), CW17b-CFAVC-MRD-TK05-2021(Package No.10), CW17c-CFAVC-MRD-TBK-01-2021 (Package No.7), CW17c-CFAVC-MRD-TBK-02-2021 (Package No.7), CW17c-CFAVC-MRD-TBK-03-2021 (Package No.11), CW17c-CFAVC-MRD-TBK-04-2021 (Package No.7), CW17c-CFAVC-MRD-TBK-05-2021 (Package No.11), CW17c-CFAVC-MRD-TBK-06-2021 (Package No.11), CW17c-CFAVC-MRD-TBK-07-2021 (Package No.11), CW17d-CFAVC-MRD-KC-01-2021 (Package No.12), CW17d-CFAVC-MRD-KC-02-2021 (Package No.12), CW17d-CFAVC-MRD-KPC-03-2021 (Package No.8) and CW17d-CFAVC-MRD-KC-04-2021 (Package No.8) the </t>
    </r>
    <r>
      <rPr>
        <b/>
        <sz val="10"/>
        <color theme="1"/>
        <rFont val="Calibri"/>
        <family val="2"/>
        <scheme val="minor"/>
      </rPr>
      <t>topographical surveys</t>
    </r>
    <r>
      <rPr>
        <sz val="10"/>
        <color theme="1"/>
        <rFont val="Calibri"/>
        <family val="2"/>
        <scheme val="minor"/>
      </rPr>
      <t xml:space="preserve"> have been progressed about </t>
    </r>
    <r>
      <rPr>
        <b/>
        <sz val="10"/>
        <color theme="1"/>
        <rFont val="Calibri"/>
        <family val="2"/>
        <scheme val="minor"/>
      </rPr>
      <t>80%</t>
    </r>
    <r>
      <rPr>
        <sz val="10"/>
        <color theme="1"/>
        <rFont val="Calibri"/>
        <family val="2"/>
        <scheme val="minor"/>
      </rPr>
      <t xml:space="preserve"> completed. 
--- The </t>
    </r>
    <r>
      <rPr>
        <b/>
        <sz val="10"/>
        <color theme="1"/>
        <rFont val="Calibri"/>
        <family val="2"/>
        <scheme val="minor"/>
      </rPr>
      <t>feasibility studies</t>
    </r>
    <r>
      <rPr>
        <sz val="10"/>
        <color theme="1"/>
        <rFont val="Calibri"/>
        <family val="2"/>
        <scheme val="minor"/>
      </rPr>
      <t xml:space="preserve"> have been progresse about 70% completed and the detailed engineering designs have been progressed about </t>
    </r>
    <r>
      <rPr>
        <b/>
        <sz val="10"/>
        <color theme="1"/>
        <rFont val="Calibri"/>
        <family val="2"/>
        <scheme val="minor"/>
      </rPr>
      <t>35%</t>
    </r>
    <r>
      <rPr>
        <sz val="10"/>
        <color theme="1"/>
        <rFont val="Calibri"/>
        <family val="2"/>
        <scheme val="minor"/>
      </rPr>
      <t xml:space="preserve"> completed.
-- Detailed engineering design were prepared for two road subprojects planned in 2020 under contract package numbers: CW17b-CFAVC-MRD-TK3-2020 (Lot 1) and CW17b-CFAVC-MRD-TK4-2020 (Lot 2);
--- For the twenty road subprojects planned in 2021, their </t>
    </r>
    <r>
      <rPr>
        <b/>
        <sz val="10"/>
        <color theme="1"/>
        <rFont val="Calibri"/>
        <family val="2"/>
        <scheme val="minor"/>
      </rPr>
      <t>detailed engineering design</t>
    </r>
    <r>
      <rPr>
        <sz val="10"/>
        <color theme="1"/>
        <rFont val="Calibri"/>
        <family val="2"/>
        <scheme val="minor"/>
      </rPr>
      <t xml:space="preserve"> during the reporting period have been progressed </t>
    </r>
    <r>
      <rPr>
        <b/>
        <sz val="10"/>
        <color theme="1"/>
        <rFont val="Calibri"/>
        <family val="2"/>
        <scheme val="minor"/>
      </rPr>
      <t>35%</t>
    </r>
    <r>
      <rPr>
        <sz val="10"/>
        <color theme="1"/>
        <rFont val="Calibri"/>
        <family val="2"/>
        <scheme val="minor"/>
      </rPr>
      <t>.</t>
    </r>
  </si>
  <si>
    <t>This indicator was slightly started yet for the three varieties releazed and it is still waiting for signing contract with IRRI and its progress was narratively described by its respective sub-indicators below,</t>
  </si>
  <si>
    <t>This sub-indicator was not started yet for the three varieties releazed and it is still waiting for signing contract with IRRI.</t>
  </si>
  <si>
    <t>This sub-indicator was not started yet for the three varieties releazed and it is still waiting for signing contract with IRRI.
Further, there some demenstrations were conducted including,
--- 90 rice seed demo plots selected;
--- 10 cassava seed demo plots selected;</t>
  </si>
  <si>
    <t>CFAVC PROJECT's DMF PERFORMANCE INDICATORS PROGRESS REPORT (Oct - December 2021)</t>
  </si>
  <si>
    <r>
      <rPr>
        <b/>
        <sz val="10"/>
        <color rgb="FF000000"/>
        <rFont val="Arial"/>
        <family val="2"/>
      </rPr>
      <t>Fourth Quarter</t>
    </r>
    <r>
      <rPr>
        <sz val="10"/>
        <color rgb="FF000000"/>
        <rFont val="Arial"/>
        <family val="2"/>
      </rPr>
      <t xml:space="preserve"> DMF's Indicators Progress, Oct. - Dec 2021</t>
    </r>
  </si>
  <si>
    <t>Sub- Weight 
(%)</t>
  </si>
  <si>
    <t>AWP &amp; Carry Over from 2020</t>
  </si>
  <si>
    <r>
      <rPr>
        <b/>
        <sz val="10"/>
        <color theme="1"/>
        <rFont val="Calibri"/>
        <family val="2"/>
        <scheme val="minor"/>
      </rPr>
      <t>12 Months</t>
    </r>
    <r>
      <rPr>
        <sz val="10"/>
        <color theme="1"/>
        <rFont val="Calibri"/>
        <family val="2"/>
        <scheme val="minor"/>
      </rPr>
      <t xml:space="preserve">
Accumulative Weight Progress
(%)</t>
    </r>
  </si>
  <si>
    <r>
      <rPr>
        <b/>
        <sz val="10"/>
        <color theme="1"/>
        <rFont val="Calibri"/>
        <family val="2"/>
        <scheme val="minor"/>
      </rPr>
      <t>S2</t>
    </r>
    <r>
      <rPr>
        <sz val="10"/>
        <color theme="1"/>
        <rFont val="Calibri"/>
        <family val="2"/>
        <scheme val="minor"/>
      </rPr>
      <t xml:space="preserve">
Accumulative Weight Progress
(</t>
    </r>
    <r>
      <rPr>
        <b/>
        <sz val="10"/>
        <color theme="1"/>
        <rFont val="Calibri"/>
        <family val="2"/>
        <scheme val="minor"/>
      </rPr>
      <t>%</t>
    </r>
    <r>
      <rPr>
        <sz val="10"/>
        <color theme="1"/>
        <rFont val="Calibri"/>
        <family val="2"/>
        <scheme val="minor"/>
      </rPr>
      <t>)</t>
    </r>
  </si>
  <si>
    <t>28 Irrigation schemes were identified, of which 8 were conducted its sub-projects’ feasibilities studies, 10 schemes were conducted its topographical survey, 18 irrigation schemes were on the preparation of topographical survey, 5 schemes were conducted its DED, while 2 schemes were on preparation of DED (Pram Kompheak and O’Kamprok), 1 Trapping Run under progress of construction up to 95% completed, and 5 irrigation systems were under bid evaluation process, and only Trapeang Run, other 5 schemes were in the progress and signatures.
After the feasibility studies, and topographical survey, 16,000 ha were covered.
5 schemes were conducted its DED, while 2 schemes were on preparation of DED (Pram Kompheak and O’Kamprok),
Trappaing Run was under progress of construction up to 90% completed.
To contribute to the above achievement, 7 field visits were conducted, with a total number of 161 participants, of which 55 participants were women.</t>
  </si>
  <si>
    <t>Assigned Weight 
(%)</t>
  </si>
  <si>
    <t>The activity does not undertake yet, still waiting for clear decision, which made by the government, for which Ministry will be responsible for implementation of this indicator?</t>
  </si>
  <si>
    <t>The 2020 Road subprojects’ conducted of, its identifications, feasibility studies, topographic survey DED, Tender file, of which all 8 subprojects with 70.12 Km for 4 provinces. (Takeo 14.67 Km, Tboung Khmum 21.77 Km, Kampong Cham 14.60 Km and Kampot 20.07 Km) were completed.
-- The 2021 Road subprojects identification of 20 subprojects with 100.77 Km for 4 provinces, which the feasibility is 60% progressed, topographic survey is 30% progressed, while the DED, and Tender file were not yet started.
-- 2022 planned Road subprojects identified and selected 12 subprojects with 102.50 Km for 4 provinces but the feasibility study, topographic survey, DEC, and Tender file, were not yet started.
-- Conducted Environmental Safeguards in Kampot province, with 20.07 Km, ADB provides NOL IEE/EMP on 9th July 2021.
-- Conducted the Social safeguards in Takeo province with 14.67 Km, the subproject is classified as category B. The LARP is under revision by the consultant based on comments from ADB. It is re-submitted to ADB by 4th week of July 2021.
-- Conducted the Social safeguards in Tboung Khmum province with 21.77 Km, the subproject is classified as category C. The DDR submitted to ADB on 29 March 2021 for review. The draft DDR is under revision by consultant based on the comments from the Third Party and it will be submitted to ADB by the 1st week of Aug 2021.
-- Conducted the Social safeguards in Kampong Cham province with 14.60 Km, the subproject is classified as category B. The LARP needs to be prepared. The pegging and demarcation will be ready for DMS to be started in 2nd week of July 2021, the DRP will be prepared based on the DMS data has been completely done with the support from consultant team.  
-- Conducted the Social safeguards in Kampot province with 20.07 Km, the classification of category not yet decide. A joint field visit by GDR, CS5 and CS1 is carried out 3rd week of July 2021 to decide whether category B or C.
-- Conduced the procurement process of subproject in Takeo province with 14.67 Km, the bid evaluation report (BER) is completed and to submit to ADB for NOL during 3rd week of July 2021.
-- Conduced the procurement process of subproject in Tboung Khmum province with 21.77 Km, invitation to bid is advertised on the 2nd June 2021. Bid opening is conducted on the 2nd July 2021, BER preparation is in progress.
-- Conduced the procurement process of subproject in Kampong Cham province, with 14.60 Km, the bid opening is conducted on the 2nd July 2021, BER preparation is in progress.
-- Conduced the procurement process of subproject in Kampot province, with 20.07 Km, invitation to bid is scheduled to advertise during the 1st week of Aug 2021.
-- To contribute to the above achievements during the reporting period, there 9 events were conducted, with a total number of 434 participants, of which 109 participants were women. Out of these 9 conducted events, there were 2 conducted events were the meetings, with a total number of 35 participants, of which 3 participants were women, and 7 conducted events more were the field visits, with a total number of 399 participants, of which 106 participants were women.</t>
  </si>
  <si>
    <t>35 ACs for supporting in 2021 were identified and completed feasibility report. DED and tender file preparation for 35 ACs support in 2021 were completed and submitted to PMU for further review and prior approval.  
Procurement for 20 ACs support in 2020 were floated out publicly and waiting for bidding evaluation report, constructor identification, however, the construction of 20 ACs don’t start activities yet.
At least benefit to 16,500 people and the progress in tracking.</t>
  </si>
  <si>
    <t>Starting gradually progress and the progress including,
- Prepared training program;
- Prepared concept notes for green house construction and LAB-room renovation;
- Submitted all prepared concept notes to PMU for further verify and prior approval.</t>
  </si>
  <si>
    <t>Look into below of its respective narrative contribution please.
During the reporting period, to contribute to this indicator achievement there were 5 events conducted, with a total number of 120 participants, of which 49 participants were women. Out of these 5 conducted events, there were 4 conducted events were the field visits, with a total number of 99 participants, of which 42 participants were women, and 1 conducted event more was the field visits, with a total number of 21 participants, of which 7 participants were women.</t>
  </si>
  <si>
    <t>Completed first procurement for 500 biodigesters completed and waiting for BER approval and constructor’s identification;
- Construction of 500 biodigesters do not undertake yet;
- Started to identify new 750 biodigesters, planned for 2021.
- A total of 1,250 families or 6,250 people (50% were women) were benefited from the program by 2021.</t>
  </si>
  <si>
    <t>Completed first procurement for 250 compost huts and waiting for BER approval and constructor’s identification; 
- Construction of 250 compost huts do not undertake yet;
- Started to identify new 375 compost huts planned for 2021;
A total of 625 families or 3,125 people (50% were women) will be benefited from the program by 2021.</t>
  </si>
  <si>
    <t>It is on the progress.
During the reporting period, to contribute to this indicator achievement there 15 events were conducted, with a total number of 246 participants, of which 42 participants were women. Out of these 15 conducted events, there were 5 conducted events were the trainings, with a total number of 81 participants, of which 11 participants were women, 6 conducted events were the meetings, with a total number of 117 participants, of which 16 participants were women, 1 conducted event was the field visit, with a total number of 20 participants, of which 7 participants were women, and 3 conducted event more was the field follow up, with a total number of 28 participants, of which 8 participants were women.</t>
  </si>
  <si>
    <t>During first semester of 2021, this indicator was progressed narratively, but CARDI does not sign contract with IRRI yet.
Anyhow during the reporting period, to contribute to this indicator narrative achievement, there 21 events were conducted, with a total number of 1,069 participants, of which 318 participants were women. Out of these 21 conducted events, there were 1 conducted event was the meeting, with a total number of 10 participants, of which 2 participants were women, 2 conducted events were the field visits, with a total number of 19 participants, of which 4 participants were women, 6 conducted events were the demonstrations, with a total number of 100 participants, of which 47 participants were women, 6 conducted events were the assessments, with a total number of 767 participants, of which 244 participants were women, 6 conducted events more were the feasibility studies, with a total number of 173 participants, of which 21 participants were women.</t>
  </si>
  <si>
    <t>Look into below of its respective narrative contribution please.</t>
  </si>
  <si>
    <t>During first semester of 2021, the activity of the indicator does not progress, and CARDI does not sign contract with IRRI yet</t>
  </si>
  <si>
    <t>During first semester of 2021, the activities of the indicator does not progress, and CARDI does not sign contract with IRRI yet.</t>
  </si>
  <si>
    <t>It is on the progress, the FWUCs establishment were delayed due to COVID-19 restriction. However, completed the establishment of 5 FWUCs of, Trapeang Run, Takouch, Kbal Teuk, Tuol Pring and Trapeang Tros, 
50% of Prey Khdouch and Kraing Empil FWUCs were progressed, and 30% Pram Kompheak and O Kamprok were also progressed.
Anyhow during the reporting period, to contribute to the indicator achievement, there 37 events were conducted, with a total number of 1,839 participants, of which 617 participants were women. Out of these 37 conducted events, there were 28 conducted events were the meetings, with a total number of 1,677 participants, of which 599 participants were women, 9 conducted events were the other events, with a total number of 162 participants, of which 18 participants were women.</t>
  </si>
  <si>
    <t>Training program and training content developed. However, due to COVID-19 pandemic and community spread out, the training to FWUC’s representatives and members do not undertake yet.</t>
  </si>
  <si>
    <t>Progress in tracking, however, waiting till PADCs and MEWs constructed.</t>
  </si>
  <si>
    <t>Progress in tracking, however, waiting till PADCs constructed.</t>
  </si>
  <si>
    <t>Progress in tracking, however, waiting till MEWs constructed.</t>
  </si>
  <si>
    <t>Look into below of its respective narrative contribution please.
Anyhow during the reporting period, to contribute to this indicator narrative achievement, there 38 events were conducted, with a total number of 969 participants, of which 336 participants were women. Out of these 38 conducted events, there were 38 conducted events were the meetings, with a total number of 969 participants, of which 336 participants were women.</t>
  </si>
  <si>
    <t xml:space="preserve">Conducted technical meeting with TWG on the process of policy study and formulation. In the process of local consultant selection by procurement unit. </t>
  </si>
  <si>
    <t>it is on the progress.
Reviewing relevant existing policy documents.</t>
  </si>
  <si>
    <t xml:space="preserve">This policy suggests and requested by the department of Agro-Industry, MAFF. The activities do not undertake yet, and it need to be discussed and agreed by the project. </t>
  </si>
  <si>
    <t>This policy suggests and requested by the department of Agro-Industry, MAFF. The activities do not undertake yet, and it need to be discussed and agreed by the project.</t>
  </si>
  <si>
    <t>This policy requested by the Department of Agriculture Cooperative Promotion and Development/GDA, MAFF. The activities do not undertake yet, and it need to be discussed and agreed by the project.</t>
  </si>
  <si>
    <t>The activity does not undertake yet but it is some narratively progressed.</t>
  </si>
  <si>
    <t>The activity does not undertake yet but it is some narratively progressed</t>
  </si>
  <si>
    <t>Progress in tracking including,
- Drafted ToR for feasibility study on selected commodities supports to national policy, however, the feasibility study still waiting for agreement, which commodities should conduct the study.
- Drafted PPP framework and submitted to Department of Planning and Statistic for further reviewing and prior approval.</t>
  </si>
  <si>
    <t>The activities do not undertake yet, due to the Specialist will be mobilized in early July 2021.</t>
  </si>
  <si>
    <t>The activities do not undertake yet, due to the Specialist will be mobilized in early July 2021</t>
  </si>
  <si>
    <t>Progress in tracking and CS4 under process of procurement.</t>
  </si>
  <si>
    <t>Progress in tacking and Waiting till CS4 mobilized.</t>
  </si>
  <si>
    <t>Policy on Climate Smart and Gender Responsive Agribusiness and PPP framework formulated including the 5 policies below,
1. Draft of Climate Smart and Gender Responsive Agrib-policy</t>
  </si>
  <si>
    <r>
      <t>1a. 27</t>
    </r>
    <r>
      <rPr>
        <b/>
        <sz val="11"/>
        <rFont val="Calibri"/>
        <family val="2"/>
        <scheme val="minor"/>
      </rPr>
      <t xml:space="preserve"> irrigation and water management systems</t>
    </r>
    <r>
      <rPr>
        <sz val="11"/>
        <rFont val="Calibri"/>
        <family val="2"/>
        <scheme val="minor"/>
      </rPr>
      <t xml:space="preserve"> targeting 15,000 ha and 25,000 households (with at least 50,000 women) rehabilitated and made climate resilient (2017 baseline: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</si>
</sst>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
    <numFmt numFmtId="165" formatCode="0.0"/>
    <numFmt numFmtId="166" formatCode="0.000%"/>
    <numFmt numFmtId="167" formatCode="#,##0.0"/>
    <numFmt numFmtId="168" formatCode="0.000"/>
    <numFmt numFmtId="169" formatCode="_(* #,##0_);_(* \(#,##0\);_(* &quot;-&quot;??_);_(@_)"/>
    <numFmt numFmtId="170" formatCode="0.0%"/>
    <numFmt numFmtId="171" formatCode="mm/dd/yy;@"/>
    <numFmt numFmtId="172" formatCode="0.0000%"/>
    <numFmt numFmtId="173" formatCode="0.00000%"/>
    <numFmt numFmtId="174" formatCode="0.0000"/>
    <numFmt numFmtId="175" formatCode="_(* #,##0.0_);_(* \(#,##0.0\);_(* &quot;-&quot;??_);_(@_)"/>
    <numFmt numFmtId="176" formatCode="0.00000"/>
  </numFmts>
  <fonts count="95">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1"/>
      <name val="Arial"/>
      <family val="2"/>
    </font>
    <font>
      <b/>
      <i/>
      <sz val="11"/>
      <name val="Arial"/>
      <family val="2"/>
    </font>
    <font>
      <b/>
      <sz val="14"/>
      <color theme="1"/>
      <name val="Arial"/>
      <family val="2"/>
    </font>
    <font>
      <sz val="11"/>
      <name val="Calibri"/>
      <family val="2"/>
      <scheme val="minor"/>
    </font>
    <font>
      <sz val="14"/>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9"/>
      <color theme="1"/>
      <name val="Arial"/>
      <family val="2"/>
    </font>
    <font>
      <sz val="9"/>
      <color theme="1"/>
      <name val="Arial"/>
      <family val="2"/>
    </font>
    <font>
      <sz val="9"/>
      <color theme="1"/>
      <name val="Calibri"/>
      <family val="2"/>
      <scheme val="minor"/>
    </font>
    <font>
      <sz val="9"/>
      <name val="Arial"/>
      <family val="2"/>
    </font>
    <font>
      <b/>
      <sz val="9"/>
      <color theme="1"/>
      <name val="Calibri"/>
      <family val="2"/>
      <scheme val="minor"/>
    </font>
    <font>
      <b/>
      <sz val="18"/>
      <color theme="1"/>
      <name val="Calibri"/>
      <family val="2"/>
      <scheme val="minor"/>
    </font>
    <font>
      <sz val="18"/>
      <color theme="1"/>
      <name val="Calibri"/>
      <family val="2"/>
      <scheme val="minor"/>
    </font>
    <font>
      <sz val="18"/>
      <color theme="1"/>
      <name val="Arial"/>
      <family val="2"/>
    </font>
    <font>
      <sz val="12"/>
      <color theme="1"/>
      <name val="Calibri"/>
      <family val="2"/>
      <scheme val="minor"/>
    </font>
    <font>
      <sz val="14"/>
      <color theme="1"/>
      <name val="Calibri"/>
      <family val="2"/>
      <scheme val="minor"/>
    </font>
    <font>
      <sz val="14"/>
      <name val="Arial"/>
      <family val="2"/>
    </font>
    <font>
      <sz val="16"/>
      <name val="Arial"/>
      <family val="2"/>
    </font>
    <font>
      <b/>
      <sz val="16"/>
      <name val="Arial"/>
      <family val="2"/>
    </font>
    <font>
      <b/>
      <sz val="12"/>
      <name val="Arial"/>
      <family val="2"/>
    </font>
    <font>
      <b/>
      <sz val="12"/>
      <color theme="1"/>
      <name val="Arial"/>
      <family val="2"/>
    </font>
    <font>
      <b/>
      <sz val="11"/>
      <name val="Arial"/>
      <family val="2"/>
    </font>
    <font>
      <b/>
      <sz val="11"/>
      <color theme="1"/>
      <name val="Arial"/>
      <family val="2"/>
    </font>
    <font>
      <sz val="10"/>
      <color theme="1"/>
      <name val="Calibri"/>
      <family val="2"/>
      <scheme val="minor"/>
    </font>
    <font>
      <sz val="10"/>
      <name val="Arial"/>
      <family val="2"/>
    </font>
    <font>
      <sz val="10"/>
      <color theme="1"/>
      <name val="Arial"/>
      <family val="2"/>
    </font>
    <font>
      <b/>
      <sz val="10"/>
      <name val="Arial"/>
      <family val="2"/>
    </font>
    <font>
      <b/>
      <sz val="10"/>
      <color theme="1"/>
      <name val="Arial"/>
      <family val="2"/>
    </font>
    <font>
      <b/>
      <sz val="12"/>
      <name val="Calibri"/>
      <family val="2"/>
      <scheme val="minor"/>
    </font>
    <font>
      <b/>
      <sz val="16"/>
      <name val="Calibri"/>
      <family val="2"/>
      <scheme val="minor"/>
    </font>
    <font>
      <sz val="9"/>
      <color indexed="81"/>
      <name val="Tahoma"/>
      <family val="2"/>
    </font>
    <font>
      <b/>
      <sz val="9"/>
      <color indexed="81"/>
      <name val="Tahoma"/>
      <family val="2"/>
    </font>
    <font>
      <b/>
      <sz val="11"/>
      <color rgb="FF0000CC"/>
      <name val="Calibri"/>
      <family val="2"/>
      <scheme val="minor"/>
    </font>
    <font>
      <b/>
      <sz val="18"/>
      <color rgb="FF0000CC"/>
      <name val="Arial"/>
      <family val="2"/>
    </font>
    <font>
      <b/>
      <sz val="18"/>
      <color rgb="FF0000CC"/>
      <name val="Calibri"/>
      <family val="2"/>
      <scheme val="minor"/>
    </font>
    <font>
      <sz val="11"/>
      <color rgb="FF0000CC"/>
      <name val="Arial"/>
      <family val="2"/>
    </font>
    <font>
      <b/>
      <i/>
      <sz val="11"/>
      <color rgb="FF0000CC"/>
      <name val="Arial"/>
      <family val="2"/>
    </font>
    <font>
      <sz val="11"/>
      <color rgb="FF0000CC"/>
      <name val="Calibri"/>
      <family val="2"/>
      <scheme val="minor"/>
    </font>
    <font>
      <sz val="10"/>
      <color rgb="FF0000CC"/>
      <name val="Calibri"/>
      <family val="2"/>
      <scheme val="minor"/>
    </font>
    <font>
      <sz val="10"/>
      <color rgb="FF0000CC"/>
      <name val="Arial"/>
      <family val="2"/>
    </font>
    <font>
      <b/>
      <sz val="10"/>
      <color theme="1"/>
      <name val="Calibri"/>
      <family val="2"/>
      <scheme val="minor"/>
    </font>
    <font>
      <sz val="10"/>
      <name val="Calibri"/>
      <family val="2"/>
      <scheme val="minor"/>
    </font>
    <font>
      <b/>
      <sz val="10"/>
      <name val="Calibri"/>
      <family val="2"/>
      <scheme val="minor"/>
    </font>
    <font>
      <b/>
      <sz val="10"/>
      <color rgb="FF0000CC"/>
      <name val="Calibri"/>
      <family val="2"/>
      <scheme val="minor"/>
    </font>
    <font>
      <b/>
      <sz val="10"/>
      <color rgb="FFFF0000"/>
      <name val="Calibri"/>
      <family val="2"/>
      <scheme val="minor"/>
    </font>
    <font>
      <sz val="10"/>
      <color rgb="FFFF0000"/>
      <name val="Calibri"/>
      <family val="2"/>
      <scheme val="minor"/>
    </font>
    <font>
      <b/>
      <sz val="11"/>
      <color rgb="FF000000"/>
      <name val="Arial"/>
      <family val="2"/>
    </font>
    <font>
      <b/>
      <sz val="11"/>
      <color rgb="FF0000CC"/>
      <name val="Arial"/>
      <family val="2"/>
    </font>
    <font>
      <b/>
      <sz val="12"/>
      <color rgb="FF0000CC"/>
      <name val="Arial"/>
      <family val="2"/>
    </font>
    <font>
      <sz val="11"/>
      <color rgb="FF000000"/>
      <name val="Arial"/>
      <family val="2"/>
    </font>
    <font>
      <b/>
      <u/>
      <sz val="11"/>
      <color rgb="FF000000"/>
      <name val="Arial"/>
      <family val="2"/>
    </font>
    <font>
      <b/>
      <sz val="14"/>
      <color rgb="FF0000CC"/>
      <name val="Arial"/>
      <family val="2"/>
    </font>
    <font>
      <sz val="14"/>
      <color rgb="FF0000CC"/>
      <name val="Arial"/>
      <family val="2"/>
    </font>
    <font>
      <sz val="10"/>
      <color rgb="FF000000"/>
      <name val="Arial"/>
      <family val="2"/>
    </font>
    <font>
      <b/>
      <sz val="10"/>
      <color rgb="FF000000"/>
      <name val="Arial"/>
      <family val="2"/>
    </font>
    <font>
      <sz val="10"/>
      <name val="Calibri"/>
      <family val="2"/>
    </font>
    <font>
      <b/>
      <sz val="11"/>
      <color rgb="FF000000"/>
      <name val="Calibri"/>
      <family val="2"/>
    </font>
    <font>
      <sz val="11"/>
      <color theme="1"/>
      <name val="Calibri"/>
      <family val="2"/>
    </font>
    <font>
      <sz val="12"/>
      <color rgb="FF000000"/>
      <name val="Kh Battambang"/>
    </font>
    <font>
      <sz val="10"/>
      <color rgb="FF339966"/>
      <name val="Arial"/>
      <family val="2"/>
    </font>
    <font>
      <sz val="10"/>
      <color rgb="FFFF66FF"/>
      <name val="Arial"/>
      <family val="2"/>
    </font>
    <font>
      <b/>
      <sz val="10"/>
      <color rgb="FF339966"/>
      <name val="Arial"/>
      <family val="2"/>
    </font>
    <font>
      <b/>
      <sz val="10"/>
      <color rgb="FFFF66FF"/>
      <name val="Arial"/>
      <family val="2"/>
    </font>
    <font>
      <b/>
      <sz val="13"/>
      <color theme="1"/>
      <name val="Calibri"/>
      <family val="2"/>
      <scheme val="minor"/>
    </font>
    <font>
      <b/>
      <sz val="13"/>
      <name val="Calibri"/>
      <family val="2"/>
      <scheme val="minor"/>
    </font>
    <font>
      <sz val="11"/>
      <color rgb="FF009999"/>
      <name val="Calibri"/>
      <family val="2"/>
      <scheme val="minor"/>
    </font>
    <font>
      <b/>
      <sz val="11"/>
      <color rgb="FF009999"/>
      <name val="Calibri"/>
      <family val="2"/>
      <scheme val="minor"/>
    </font>
    <font>
      <sz val="11"/>
      <color rgb="FFFF0000"/>
      <name val="Calibri"/>
      <family val="2"/>
      <scheme val="minor"/>
    </font>
    <font>
      <sz val="11"/>
      <name val="Calibri"/>
      <family val="2"/>
    </font>
    <font>
      <sz val="12"/>
      <name val="Calibri"/>
      <family val="2"/>
    </font>
    <font>
      <sz val="12"/>
      <name val="Calibri"/>
      <family val="2"/>
      <scheme val="minor"/>
    </font>
    <font>
      <b/>
      <sz val="12"/>
      <name val="Calibri"/>
      <family val="2"/>
    </font>
    <font>
      <b/>
      <u/>
      <sz val="11"/>
      <color rgb="FF0000CC"/>
      <name val="Arial"/>
      <family val="2"/>
    </font>
    <font>
      <sz val="10"/>
      <color rgb="FF0000CC"/>
      <name val="Calibri"/>
      <family val="2"/>
    </font>
    <font>
      <sz val="11"/>
      <color rgb="FFD60093"/>
      <name val="Calibri"/>
      <family val="2"/>
      <scheme val="minor"/>
    </font>
    <font>
      <sz val="18"/>
      <color rgb="FF0000CC"/>
      <name val="Arial"/>
      <family val="2"/>
    </font>
    <font>
      <sz val="10"/>
      <color rgb="FFFF99FF"/>
      <name val="Arial"/>
      <family val="2"/>
    </font>
    <font>
      <b/>
      <sz val="10"/>
      <color rgb="FFCC00CC"/>
      <name val="Arial"/>
      <family val="2"/>
    </font>
    <font>
      <sz val="10"/>
      <color rgb="FFCC00CC"/>
      <name val="Calibri"/>
      <family val="2"/>
      <scheme val="minor"/>
    </font>
    <font>
      <sz val="11"/>
      <color rgb="FFFF0000"/>
      <name val="Arial"/>
      <family val="2"/>
    </font>
    <font>
      <sz val="11"/>
      <color theme="1"/>
      <name val="Gill Sans MT"/>
      <family val="2"/>
    </font>
    <font>
      <sz val="11"/>
      <color rgb="FF7030A0"/>
      <name val="Gill Sans MT"/>
      <family val="2"/>
    </font>
    <font>
      <b/>
      <sz val="10"/>
      <color rgb="FF0000CC"/>
      <name val="Arial"/>
      <family val="2"/>
    </font>
    <font>
      <b/>
      <sz val="10"/>
      <color rgb="FFFF99FF"/>
      <name val="Arial"/>
      <family val="2"/>
    </font>
    <font>
      <b/>
      <sz val="12"/>
      <color rgb="FF0000CC"/>
      <name val="Calibri"/>
      <family val="2"/>
      <scheme val="minor"/>
    </font>
    <font>
      <sz val="12"/>
      <name val="Arial"/>
      <family val="2"/>
    </font>
    <font>
      <sz val="10"/>
      <color rgb="FFF00802"/>
      <name val="Calibri"/>
      <family val="2"/>
      <scheme val="minor"/>
    </font>
    <font>
      <sz val="9"/>
      <name val="Calibri"/>
      <family val="2"/>
      <scheme val="minor"/>
    </font>
    <font>
      <b/>
      <sz val="9"/>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EAEAEA"/>
        <bgColor indexed="64"/>
      </patternFill>
    </fill>
    <fill>
      <patternFill patternType="solid">
        <fgColor rgb="FF99FFCC"/>
        <bgColor indexed="64"/>
      </patternFill>
    </fill>
    <fill>
      <patternFill patternType="solid">
        <fgColor rgb="FF00CC66"/>
        <bgColor indexed="64"/>
      </patternFill>
    </fill>
    <fill>
      <patternFill patternType="solid">
        <fgColor rgb="FFFF66FF"/>
        <bgColor indexed="64"/>
      </patternFill>
    </fill>
    <fill>
      <patternFill patternType="solid">
        <fgColor rgb="FF99CCFF"/>
        <bgColor indexed="64"/>
      </patternFill>
    </fill>
    <fill>
      <patternFill patternType="solid">
        <fgColor rgb="FFFF99CC"/>
        <bgColor indexed="64"/>
      </patternFill>
    </fill>
    <fill>
      <patternFill patternType="solid">
        <fgColor rgb="FF00B0F0"/>
        <bgColor indexed="64"/>
      </patternFill>
    </fill>
    <fill>
      <patternFill patternType="solid">
        <fgColor rgb="FFCCFFFF"/>
        <bgColor indexed="64"/>
      </patternFill>
    </fill>
    <fill>
      <patternFill patternType="solid">
        <fgColor rgb="FFF8F8F8"/>
        <bgColor rgb="FF000000"/>
      </patternFill>
    </fill>
    <fill>
      <patternFill patternType="solid">
        <fgColor rgb="FFFFFF00"/>
        <bgColor rgb="FF000000"/>
      </patternFill>
    </fill>
    <fill>
      <patternFill patternType="solid">
        <fgColor rgb="FFF8F8F8"/>
        <bgColor indexed="64"/>
      </patternFill>
    </fill>
    <fill>
      <patternFill patternType="solid">
        <fgColor rgb="FFCCECFF"/>
        <bgColor indexed="64"/>
      </patternFill>
    </fill>
    <fill>
      <patternFill patternType="solid">
        <fgColor rgb="FFD9D9D9"/>
        <bgColor indexed="64"/>
      </patternFill>
    </fill>
    <fill>
      <patternFill patternType="solid">
        <fgColor rgb="FFFFCCFF"/>
        <bgColor indexed="64"/>
      </patternFill>
    </fill>
    <fill>
      <patternFill patternType="solid">
        <fgColor rgb="FFFFCCFF"/>
        <bgColor rgb="FF000000"/>
      </patternFill>
    </fill>
    <fill>
      <patternFill patternType="solid">
        <fgColor rgb="FFFFCC66"/>
        <bgColor rgb="FF000000"/>
      </patternFill>
    </fill>
    <fill>
      <patternFill patternType="solid">
        <fgColor rgb="FFCCECFF"/>
        <bgColor rgb="FF000000"/>
      </patternFill>
    </fill>
    <fill>
      <patternFill patternType="solid">
        <fgColor rgb="FFFF0000"/>
        <bgColor indexed="64"/>
      </patternFill>
    </fill>
    <fill>
      <patternFill patternType="solid">
        <fgColor rgb="FF0000CC"/>
        <bgColor indexed="64"/>
      </patternFill>
    </fill>
    <fill>
      <patternFill patternType="solid">
        <fgColor rgb="FF0000CC"/>
        <bgColor rgb="FF000000"/>
      </patternFill>
    </fill>
    <fill>
      <patternFill patternType="solid">
        <fgColor theme="7" tint="0.79998168889431442"/>
        <bgColor indexed="64"/>
      </patternFill>
    </fill>
    <fill>
      <patternFill patternType="solid">
        <fgColor rgb="FFFFFFFF"/>
        <bgColor indexed="64"/>
      </patternFill>
    </fill>
  </fills>
  <borders count="20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top style="thick">
        <color auto="1"/>
      </top>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style="thin">
        <color auto="1"/>
      </left>
      <right style="thick">
        <color auto="1"/>
      </right>
      <top style="thick">
        <color auto="1"/>
      </top>
      <bottom/>
      <diagonal/>
    </border>
    <border>
      <left style="thin">
        <color auto="1"/>
      </left>
      <right style="thick">
        <color auto="1"/>
      </right>
      <top/>
      <bottom style="thin">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ck">
        <color auto="1"/>
      </left>
      <right/>
      <top/>
      <bottom/>
      <diagonal/>
    </border>
    <border>
      <left style="thick">
        <color auto="1"/>
      </left>
      <right style="thin">
        <color auto="1"/>
      </right>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top style="thin">
        <color auto="1"/>
      </top>
      <bottom/>
      <diagonal/>
    </border>
    <border>
      <left style="thick">
        <color auto="1"/>
      </left>
      <right/>
      <top/>
      <bottom style="thin">
        <color auto="1"/>
      </bottom>
      <diagonal/>
    </border>
    <border>
      <left style="thick">
        <color auto="1"/>
      </left>
      <right style="thick">
        <color auto="1"/>
      </right>
      <top style="thin">
        <color auto="1"/>
      </top>
      <bottom style="thick">
        <color auto="1"/>
      </bottom>
      <diagonal/>
    </border>
    <border>
      <left style="thin">
        <color indexed="64"/>
      </left>
      <right style="thin">
        <color indexed="64"/>
      </right>
      <top style="medium">
        <color indexed="64"/>
      </top>
      <bottom/>
      <diagonal/>
    </border>
    <border>
      <left style="thick">
        <color auto="1"/>
      </left>
      <right style="thin">
        <color auto="1"/>
      </right>
      <top/>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right style="thin">
        <color indexed="64"/>
      </right>
      <top style="thin">
        <color auto="1"/>
      </top>
      <bottom style="thin">
        <color indexed="64"/>
      </bottom>
      <diagonal/>
    </border>
    <border>
      <left/>
      <right style="thin">
        <color auto="1"/>
      </right>
      <top style="thin">
        <color auto="1"/>
      </top>
      <bottom style="thick">
        <color auto="1"/>
      </bottom>
      <diagonal/>
    </border>
    <border>
      <left style="thin">
        <color auto="1"/>
      </left>
      <right/>
      <top style="thick">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thick">
        <color auto="1"/>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ck">
        <color auto="1"/>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auto="1"/>
      </left>
      <right style="thin">
        <color auto="1"/>
      </right>
      <top style="thick">
        <color auto="1"/>
      </top>
      <bottom style="thin">
        <color auto="1"/>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auto="1"/>
      </left>
      <right style="medium">
        <color indexed="64"/>
      </right>
      <top style="thick">
        <color auto="1"/>
      </top>
      <bottom style="thin">
        <color auto="1"/>
      </bottom>
      <diagonal/>
    </border>
    <border>
      <left style="thin">
        <color auto="1"/>
      </left>
      <right style="medium">
        <color indexed="64"/>
      </right>
      <top style="thin">
        <color auto="1"/>
      </top>
      <bottom style="thick">
        <color auto="1"/>
      </bottom>
      <diagonal/>
    </border>
    <border>
      <left/>
      <right/>
      <top style="thin">
        <color auto="1"/>
      </top>
      <bottom style="thin">
        <color auto="1"/>
      </bottom>
      <diagonal/>
    </border>
    <border>
      <left/>
      <right style="thin">
        <color indexed="64"/>
      </right>
      <top/>
      <bottom style="medium">
        <color auto="1"/>
      </bottom>
      <diagonal/>
    </border>
    <border>
      <left/>
      <right/>
      <top style="thin">
        <color auto="1"/>
      </top>
      <bottom style="thick">
        <color auto="1"/>
      </bottom>
      <diagonal/>
    </border>
    <border>
      <left/>
      <right style="thin">
        <color auto="1"/>
      </right>
      <top style="thick">
        <color auto="1"/>
      </top>
      <bottom style="thin">
        <color auto="1"/>
      </bottom>
      <diagonal/>
    </border>
    <border>
      <left style="thin">
        <color auto="1"/>
      </left>
      <right style="medium">
        <color auto="1"/>
      </right>
      <top style="thin">
        <color auto="1"/>
      </top>
      <bottom style="medium">
        <color auto="1"/>
      </bottom>
      <diagonal/>
    </border>
    <border>
      <left style="medium">
        <color indexed="64"/>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style="thin">
        <color auto="1"/>
      </left>
      <right style="double">
        <color indexed="64"/>
      </right>
      <top style="thick">
        <color auto="1"/>
      </top>
      <bottom style="thin">
        <color auto="1"/>
      </bottom>
      <diagonal/>
    </border>
    <border>
      <left style="thin">
        <color auto="1"/>
      </left>
      <right style="double">
        <color indexed="64"/>
      </right>
      <top style="thin">
        <color auto="1"/>
      </top>
      <bottom style="thick">
        <color auto="1"/>
      </bottom>
      <diagonal/>
    </border>
    <border>
      <left/>
      <right/>
      <top style="thin">
        <color indexed="64"/>
      </top>
      <bottom/>
      <diagonal/>
    </border>
    <border>
      <left style="double">
        <color indexed="64"/>
      </left>
      <right/>
      <top style="thin">
        <color indexed="64"/>
      </top>
      <bottom/>
      <diagonal/>
    </border>
    <border>
      <left/>
      <right/>
      <top style="double">
        <color indexed="64"/>
      </top>
      <bottom style="thick">
        <color auto="1"/>
      </bottom>
      <diagonal/>
    </border>
    <border>
      <left style="thin">
        <color indexed="64"/>
      </left>
      <right style="medium">
        <color indexed="64"/>
      </right>
      <top style="thin">
        <color indexed="64"/>
      </top>
      <bottom style="double">
        <color indexed="64"/>
      </bottom>
      <diagonal/>
    </border>
    <border>
      <left style="double">
        <color auto="1"/>
      </left>
      <right/>
      <top style="double">
        <color auto="1"/>
      </top>
      <bottom/>
      <diagonal/>
    </border>
    <border>
      <left/>
      <right style="thin">
        <color indexed="64"/>
      </right>
      <top style="double">
        <color auto="1"/>
      </top>
      <bottom/>
      <diagonal/>
    </border>
    <border>
      <left style="medium">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style="thin">
        <color auto="1"/>
      </right>
      <top style="double">
        <color auto="1"/>
      </top>
      <bottom style="thin">
        <color auto="1"/>
      </bottom>
      <diagonal/>
    </border>
    <border>
      <left style="thin">
        <color auto="1"/>
      </left>
      <right style="medium">
        <color indexed="64"/>
      </right>
      <top style="double">
        <color auto="1"/>
      </top>
      <bottom style="thin">
        <color auto="1"/>
      </bottom>
      <diagonal/>
    </border>
    <border>
      <left style="thin">
        <color indexed="64"/>
      </left>
      <right style="double">
        <color auto="1"/>
      </right>
      <top style="double">
        <color auto="1"/>
      </top>
      <bottom style="thin">
        <color indexed="64"/>
      </bottom>
      <diagonal/>
    </border>
    <border>
      <left style="double">
        <color auto="1"/>
      </left>
      <right/>
      <top/>
      <bottom style="medium">
        <color indexed="64"/>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style="medium">
        <color auto="1"/>
      </top>
      <bottom style="double">
        <color auto="1"/>
      </bottom>
      <diagonal/>
    </border>
    <border>
      <left style="thin">
        <color indexed="64"/>
      </left>
      <right style="thin">
        <color indexed="64"/>
      </right>
      <top style="medium">
        <color indexed="64"/>
      </top>
      <bottom style="double">
        <color auto="1"/>
      </bottom>
      <diagonal/>
    </border>
    <border>
      <left style="thin">
        <color auto="1"/>
      </left>
      <right/>
      <top style="medium">
        <color auto="1"/>
      </top>
      <bottom style="double">
        <color auto="1"/>
      </bottom>
      <diagonal/>
    </border>
    <border>
      <left style="thin">
        <color auto="1"/>
      </left>
      <right style="thick">
        <color auto="1"/>
      </right>
      <top style="thin">
        <color auto="1"/>
      </top>
      <bottom style="double">
        <color auto="1"/>
      </bottom>
      <diagonal/>
    </border>
    <border>
      <left style="thick">
        <color auto="1"/>
      </left>
      <right style="thin">
        <color auto="1"/>
      </right>
      <top style="thin">
        <color auto="1"/>
      </top>
      <bottom style="double">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auto="1"/>
      </bottom>
      <diagonal/>
    </border>
    <border>
      <left style="medium">
        <color indexed="64"/>
      </left>
      <right style="medium">
        <color indexed="64"/>
      </right>
      <top/>
      <bottom style="thin">
        <color indexed="64"/>
      </bottom>
      <diagonal/>
    </border>
    <border>
      <left style="thin">
        <color indexed="64"/>
      </left>
      <right/>
      <top style="double">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auto="1"/>
      </top>
      <bottom style="double">
        <color auto="1"/>
      </bottom>
      <diagonal/>
    </border>
    <border>
      <left style="medium">
        <color indexed="64"/>
      </left>
      <right style="medium">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ck">
        <color auto="1"/>
      </left>
      <right/>
      <top style="thin">
        <color auto="1"/>
      </top>
      <bottom style="double">
        <color auto="1"/>
      </bottom>
      <diagonal/>
    </border>
    <border>
      <left style="thick">
        <color auto="1"/>
      </left>
      <right/>
      <top style="thick">
        <color auto="1"/>
      </top>
      <bottom style="thin">
        <color auto="1"/>
      </bottom>
      <diagonal/>
    </border>
    <border>
      <left style="double">
        <color indexed="64"/>
      </left>
      <right style="double">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ck">
        <color auto="1"/>
      </left>
      <right style="thin">
        <color indexed="64"/>
      </right>
      <top style="double">
        <color auto="1"/>
      </top>
      <bottom/>
      <diagonal/>
    </border>
    <border>
      <left/>
      <right style="double">
        <color indexed="64"/>
      </right>
      <top/>
      <bottom/>
      <diagonal/>
    </border>
    <border>
      <left style="double">
        <color indexed="64"/>
      </left>
      <right style="thin">
        <color indexed="64"/>
      </right>
      <top/>
      <bottom/>
      <diagonal/>
    </border>
    <border>
      <left/>
      <right style="thin">
        <color auto="1"/>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thin">
        <color auto="1"/>
      </top>
      <bottom style="double">
        <color indexed="64"/>
      </bottom>
      <diagonal/>
    </border>
    <border>
      <left style="double">
        <color indexed="64"/>
      </left>
      <right style="thin">
        <color indexed="64"/>
      </right>
      <top style="double">
        <color auto="1"/>
      </top>
      <bottom/>
      <diagonal/>
    </border>
    <border>
      <left/>
      <right/>
      <top style="medium">
        <color indexed="64"/>
      </top>
      <bottom style="thin">
        <color indexed="64"/>
      </bottom>
      <diagonal/>
    </border>
    <border>
      <left/>
      <right/>
      <top style="thin">
        <color auto="1"/>
      </top>
      <bottom style="medium">
        <color auto="1"/>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auto="1"/>
      </left>
      <right style="double">
        <color indexed="64"/>
      </right>
      <top style="medium">
        <color auto="1"/>
      </top>
      <bottom style="medium">
        <color indexed="64"/>
      </bottom>
      <diagonal/>
    </border>
    <border>
      <left style="thin">
        <color auto="1"/>
      </left>
      <right style="thin">
        <color indexed="64"/>
      </right>
      <top style="double">
        <color auto="1"/>
      </top>
      <bottom/>
      <diagonal/>
    </border>
    <border>
      <left style="thin">
        <color auto="1"/>
      </left>
      <right style="double">
        <color auto="1"/>
      </right>
      <top style="double">
        <color auto="1"/>
      </top>
      <bottom/>
      <diagonal/>
    </border>
    <border>
      <left style="double">
        <color auto="1"/>
      </left>
      <right/>
      <top/>
      <bottom/>
      <diagonal/>
    </border>
    <border>
      <left style="thin">
        <color auto="1"/>
      </left>
      <right style="double">
        <color auto="1"/>
      </right>
      <top/>
      <bottom/>
      <diagonal/>
    </border>
    <border>
      <left style="thin">
        <color auto="1"/>
      </left>
      <right style="double">
        <color auto="1"/>
      </right>
      <top/>
      <bottom style="medium">
        <color indexed="64"/>
      </bottom>
      <diagonal/>
    </border>
    <border>
      <left style="double">
        <color auto="1"/>
      </left>
      <right style="thin">
        <color auto="1"/>
      </right>
      <top style="medium">
        <color auto="1"/>
      </top>
      <bottom style="medium">
        <color indexed="64"/>
      </bottom>
      <diagonal/>
    </border>
    <border>
      <left style="double">
        <color auto="1"/>
      </left>
      <right style="thin">
        <color auto="1"/>
      </right>
      <top style="medium">
        <color auto="1"/>
      </top>
      <bottom/>
      <diagonal/>
    </border>
    <border>
      <left style="double">
        <color auto="1"/>
      </left>
      <right style="thin">
        <color auto="1"/>
      </right>
      <top/>
      <bottom style="medium">
        <color auto="1"/>
      </bottom>
      <diagonal/>
    </border>
    <border>
      <left style="double">
        <color auto="1"/>
      </left>
      <right style="thin">
        <color auto="1"/>
      </right>
      <top style="thin">
        <color auto="1"/>
      </top>
      <bottom style="thick">
        <color auto="1"/>
      </bottom>
      <diagonal/>
    </border>
    <border>
      <left/>
      <right style="double">
        <color auto="1"/>
      </right>
      <top style="thin">
        <color auto="1"/>
      </top>
      <bottom style="thin">
        <color auto="1"/>
      </bottom>
      <diagonal/>
    </border>
    <border>
      <left/>
      <right/>
      <top style="thin">
        <color auto="1"/>
      </top>
      <bottom style="double">
        <color auto="1"/>
      </bottom>
      <diagonal/>
    </border>
    <border>
      <left style="double">
        <color auto="1"/>
      </left>
      <right style="thin">
        <color auto="1"/>
      </right>
      <top style="thick">
        <color auto="1"/>
      </top>
      <bottom style="thin">
        <color auto="1"/>
      </bottom>
      <diagonal/>
    </border>
    <border>
      <left style="thick">
        <color auto="1"/>
      </left>
      <right/>
      <top style="medium">
        <color auto="1"/>
      </top>
      <bottom style="thin">
        <color auto="1"/>
      </bottom>
      <diagonal/>
    </border>
    <border>
      <left style="thick">
        <color auto="1"/>
      </left>
      <right/>
      <top style="thin">
        <color auto="1"/>
      </top>
      <bottom style="medium">
        <color auto="1"/>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auto="1"/>
      </left>
      <right style="thick">
        <color auto="1"/>
      </right>
      <top/>
      <bottom style="medium">
        <color auto="1"/>
      </bottom>
      <diagonal/>
    </border>
    <border>
      <left style="double">
        <color indexed="64"/>
      </left>
      <right/>
      <top style="medium">
        <color indexed="64"/>
      </top>
      <bottom style="thin">
        <color indexed="64"/>
      </bottom>
      <diagonal/>
    </border>
    <border>
      <left/>
      <right style="thin">
        <color auto="1"/>
      </right>
      <top style="medium">
        <color auto="1"/>
      </top>
      <bottom style="medium">
        <color indexed="64"/>
      </bottom>
      <diagonal/>
    </border>
    <border>
      <left/>
      <right/>
      <top/>
      <bottom style="medium">
        <color indexed="64"/>
      </bottom>
      <diagonal/>
    </border>
    <border>
      <left style="thick">
        <color auto="1"/>
      </left>
      <right style="thin">
        <color auto="1"/>
      </right>
      <top style="medium">
        <color auto="1"/>
      </top>
      <bottom style="thin">
        <color auto="1"/>
      </bottom>
      <diagonal/>
    </border>
    <border>
      <left/>
      <right/>
      <top style="thin">
        <color indexed="64"/>
      </top>
      <bottom style="hair">
        <color auto="1"/>
      </bottom>
      <diagonal/>
    </border>
    <border>
      <left/>
      <right/>
      <top style="hair">
        <color auto="1"/>
      </top>
      <bottom style="hair">
        <color auto="1"/>
      </bottom>
      <diagonal/>
    </border>
    <border>
      <left/>
      <right/>
      <top style="hair">
        <color auto="1"/>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auto="1"/>
      </left>
      <right style="thin">
        <color auto="1"/>
      </right>
      <top style="thin">
        <color auto="1"/>
      </top>
      <bottom/>
      <diagonal/>
    </border>
    <border>
      <left style="thick">
        <color auto="1"/>
      </left>
      <right/>
      <top style="medium">
        <color auto="1"/>
      </top>
      <bottom/>
      <diagonal/>
    </border>
    <border>
      <left style="thin">
        <color indexed="64"/>
      </left>
      <right style="medium">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top style="thin">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thin">
        <color auto="1"/>
      </right>
      <top style="medium">
        <color auto="1"/>
      </top>
      <bottom/>
      <diagonal/>
    </border>
    <border>
      <left style="thin">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864">
    <xf numFmtId="0" fontId="0" fillId="0" borderId="0" xfId="0"/>
    <xf numFmtId="0" fontId="2" fillId="0" borderId="0" xfId="0" applyFont="1"/>
    <xf numFmtId="0" fontId="0" fillId="0" borderId="0" xfId="0" applyBorder="1" applyAlignment="1">
      <alignment horizontal="center" vertical="center"/>
    </xf>
    <xf numFmtId="0" fontId="0" fillId="0" borderId="0" xfId="0" applyBorder="1"/>
    <xf numFmtId="0" fontId="0" fillId="0" borderId="0" xfId="0"/>
    <xf numFmtId="0" fontId="3" fillId="0" borderId="0" xfId="0" applyFont="1" applyBorder="1" applyAlignment="1">
      <alignment horizontal="center" vertical="center"/>
    </xf>
    <xf numFmtId="10" fontId="3" fillId="0" borderId="0" xfId="0" applyNumberFormat="1" applyFont="1" applyBorder="1" applyAlignment="1">
      <alignment horizontal="center" vertical="center"/>
    </xf>
    <xf numFmtId="164" fontId="3"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2" fontId="0" fillId="0" borderId="36" xfId="0" applyNumberFormat="1" applyBorder="1" applyAlignment="1">
      <alignment horizontal="center" vertical="center"/>
    </xf>
    <xf numFmtId="2" fontId="0" fillId="0" borderId="1" xfId="0" applyNumberFormat="1" applyBorder="1" applyAlignment="1">
      <alignment horizontal="center" vertical="center"/>
    </xf>
    <xf numFmtId="2" fontId="0" fillId="0" borderId="9" xfId="0" applyNumberFormat="1" applyBorder="1" applyAlignment="1">
      <alignment horizontal="center" vertical="center"/>
    </xf>
    <xf numFmtId="2" fontId="0" fillId="3" borderId="1" xfId="0" applyNumberFormat="1" applyFill="1" applyBorder="1" applyAlignment="1">
      <alignment horizontal="center" vertical="center"/>
    </xf>
    <xf numFmtId="2" fontId="2" fillId="0" borderId="9" xfId="0" applyNumberFormat="1" applyFont="1" applyBorder="1" applyAlignment="1">
      <alignment horizontal="center" vertical="center"/>
    </xf>
    <xf numFmtId="168" fontId="0" fillId="0" borderId="36" xfId="0" applyNumberFormat="1" applyBorder="1" applyAlignment="1">
      <alignment horizontal="center" vertical="center"/>
    </xf>
    <xf numFmtId="168" fontId="0" fillId="0" borderId="1" xfId="0" applyNumberFormat="1" applyBorder="1" applyAlignment="1">
      <alignment horizontal="center" vertical="center"/>
    </xf>
    <xf numFmtId="0" fontId="11" fillId="0" borderId="0" xfId="0" applyFont="1"/>
    <xf numFmtId="0" fontId="0" fillId="0" borderId="0" xfId="0" applyFill="1" applyBorder="1"/>
    <xf numFmtId="171" fontId="12" fillId="0" borderId="1" xfId="0" applyNumberFormat="1" applyFont="1" applyBorder="1" applyAlignment="1">
      <alignment horizontal="center" vertical="center"/>
    </xf>
    <xf numFmtId="0" fontId="14" fillId="0" borderId="5" xfId="0" applyFont="1" applyBorder="1" applyAlignment="1">
      <alignment horizontal="center" vertical="center"/>
    </xf>
    <xf numFmtId="0" fontId="15" fillId="0" borderId="1" xfId="0" applyFont="1" applyBorder="1" applyAlignment="1">
      <alignment horizontal="left" vertical="center"/>
    </xf>
    <xf numFmtId="2" fontId="13" fillId="0" borderId="1" xfId="0" applyNumberFormat="1" applyFont="1" applyBorder="1" applyAlignment="1">
      <alignment horizontal="center" vertical="center"/>
    </xf>
    <xf numFmtId="168" fontId="13" fillId="0" borderId="1" xfId="0" applyNumberFormat="1" applyFont="1" applyBorder="1" applyAlignment="1">
      <alignment horizontal="center" vertical="center"/>
    </xf>
    <xf numFmtId="2" fontId="13"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xf>
    <xf numFmtId="2" fontId="16" fillId="0" borderId="1" xfId="0" applyNumberFormat="1" applyFont="1" applyBorder="1" applyAlignment="1">
      <alignment horizontal="center" vertical="center"/>
    </xf>
    <xf numFmtId="43" fontId="15" fillId="0" borderId="1" xfId="1" applyFont="1" applyFill="1" applyBorder="1" applyAlignment="1">
      <alignment horizontal="left" vertical="center"/>
    </xf>
    <xf numFmtId="43" fontId="15" fillId="0" borderId="1" xfId="1" applyFont="1" applyFill="1" applyBorder="1" applyAlignment="1">
      <alignment horizontal="left" vertical="center" wrapText="1"/>
    </xf>
    <xf numFmtId="0" fontId="15" fillId="0" borderId="1" xfId="0" applyFont="1" applyBorder="1" applyAlignment="1">
      <alignment horizontal="left" vertical="center" wrapText="1"/>
    </xf>
    <xf numFmtId="2" fontId="16" fillId="0" borderId="54" xfId="0" applyNumberFormat="1" applyFont="1" applyBorder="1" applyAlignment="1">
      <alignment horizontal="center" vertical="center"/>
    </xf>
    <xf numFmtId="2" fontId="14" fillId="0" borderId="54" xfId="0" applyNumberFormat="1" applyFont="1" applyBorder="1" applyAlignment="1">
      <alignment horizontal="center" vertical="center"/>
    </xf>
    <xf numFmtId="0" fontId="6" fillId="0" borderId="0" xfId="0" applyFont="1" applyAlignment="1">
      <alignment horizontal="center"/>
    </xf>
    <xf numFmtId="2" fontId="0" fillId="0" borderId="38" xfId="0" applyNumberFormat="1" applyBorder="1" applyAlignment="1">
      <alignment horizontal="center" vertical="center"/>
    </xf>
    <xf numFmtId="2" fontId="0" fillId="0" borderId="39" xfId="0" applyNumberFormat="1" applyBorder="1" applyAlignment="1">
      <alignment horizontal="center" vertical="center"/>
    </xf>
    <xf numFmtId="0" fontId="12" fillId="0" borderId="1" xfId="0" applyFont="1" applyBorder="1" applyAlignment="1">
      <alignment horizontal="center" vertical="center"/>
    </xf>
    <xf numFmtId="0" fontId="12" fillId="0" borderId="41" xfId="0" applyFont="1" applyBorder="1" applyAlignment="1">
      <alignment horizontal="center" vertical="center"/>
    </xf>
    <xf numFmtId="2" fontId="16" fillId="0" borderId="41" xfId="0" applyNumberFormat="1" applyFont="1" applyBorder="1" applyAlignment="1">
      <alignment horizontal="center" vertical="center"/>
    </xf>
    <xf numFmtId="2" fontId="16" fillId="0" borderId="59" xfId="0" applyNumberFormat="1" applyFont="1" applyBorder="1" applyAlignment="1">
      <alignment horizontal="center" vertical="center"/>
    </xf>
    <xf numFmtId="0" fontId="12" fillId="0" borderId="2" xfId="0" applyFont="1" applyBorder="1" applyAlignment="1">
      <alignment horizontal="center" vertical="center"/>
    </xf>
    <xf numFmtId="2" fontId="16" fillId="0" borderId="60" xfId="0" applyNumberFormat="1" applyFont="1" applyBorder="1" applyAlignment="1">
      <alignment horizontal="center" vertical="center"/>
    </xf>
    <xf numFmtId="2" fontId="16" fillId="0" borderId="61" xfId="0" applyNumberFormat="1" applyFont="1" applyBorder="1" applyAlignment="1">
      <alignment horizontal="center" vertical="center"/>
    </xf>
    <xf numFmtId="2" fontId="13" fillId="0" borderId="41" xfId="0" applyNumberFormat="1" applyFont="1" applyBorder="1" applyAlignment="1">
      <alignment horizontal="center" vertical="center"/>
    </xf>
    <xf numFmtId="0" fontId="12" fillId="0" borderId="38" xfId="0" applyFont="1" applyBorder="1" applyAlignment="1">
      <alignment horizontal="center" vertical="center"/>
    </xf>
    <xf numFmtId="164" fontId="13" fillId="0" borderId="38" xfId="0" applyNumberFormat="1" applyFont="1" applyFill="1" applyBorder="1" applyAlignment="1">
      <alignment horizontal="center" vertical="center"/>
    </xf>
    <xf numFmtId="2" fontId="16" fillId="0" borderId="38" xfId="0" applyNumberFormat="1" applyFont="1" applyBorder="1" applyAlignment="1">
      <alignment horizontal="center" vertical="center"/>
    </xf>
    <xf numFmtId="2" fontId="14" fillId="0" borderId="63" xfId="0" applyNumberFormat="1" applyFont="1" applyBorder="1" applyAlignment="1">
      <alignment horizontal="center" vertical="center"/>
    </xf>
    <xf numFmtId="0" fontId="12" fillId="0" borderId="56" xfId="0" applyFont="1" applyBorder="1" applyAlignment="1">
      <alignment horizontal="center" vertical="center"/>
    </xf>
    <xf numFmtId="168" fontId="13" fillId="0" borderId="2" xfId="0" applyNumberFormat="1" applyFont="1" applyBorder="1" applyAlignment="1">
      <alignment horizontal="center" vertical="center"/>
    </xf>
    <xf numFmtId="2" fontId="13" fillId="0" borderId="56" xfId="0" applyNumberFormat="1" applyFont="1" applyFill="1" applyBorder="1" applyAlignment="1">
      <alignment horizontal="center" vertical="center"/>
    </xf>
    <xf numFmtId="2" fontId="16" fillId="0" borderId="2" xfId="0" applyNumberFormat="1" applyFont="1" applyBorder="1" applyAlignment="1">
      <alignment horizontal="center" vertical="center"/>
    </xf>
    <xf numFmtId="2" fontId="16" fillId="0" borderId="56" xfId="0" applyNumberFormat="1" applyFont="1" applyBorder="1" applyAlignment="1">
      <alignment horizontal="center" vertical="center"/>
    </xf>
    <xf numFmtId="2" fontId="13" fillId="0" borderId="2" xfId="0" applyNumberFormat="1" applyFont="1" applyBorder="1" applyAlignment="1">
      <alignment horizontal="center" vertical="center"/>
    </xf>
    <xf numFmtId="2" fontId="0" fillId="0" borderId="41" xfId="0" applyNumberFormat="1" applyBorder="1" applyAlignment="1">
      <alignment horizontal="center" vertical="center"/>
    </xf>
    <xf numFmtId="2" fontId="0" fillId="3" borderId="41" xfId="0" applyNumberFormat="1" applyFill="1" applyBorder="1" applyAlignment="1">
      <alignment horizontal="center" vertical="center"/>
    </xf>
    <xf numFmtId="2" fontId="0" fillId="0" borderId="42" xfId="0" applyNumberFormat="1" applyBorder="1" applyAlignment="1">
      <alignment horizontal="center" vertical="center"/>
    </xf>
    <xf numFmtId="2" fontId="0" fillId="0" borderId="55" xfId="0" applyNumberFormat="1" applyBorder="1" applyAlignment="1">
      <alignment horizontal="center" vertical="center"/>
    </xf>
    <xf numFmtId="2" fontId="0" fillId="0" borderId="2" xfId="0" applyNumberFormat="1" applyBorder="1" applyAlignment="1">
      <alignment horizontal="center" vertical="center"/>
    </xf>
    <xf numFmtId="2" fontId="0" fillId="3" borderId="2" xfId="0" applyNumberFormat="1" applyFill="1" applyBorder="1" applyAlignment="1">
      <alignment horizontal="center" vertical="center"/>
    </xf>
    <xf numFmtId="2" fontId="2" fillId="0" borderId="28" xfId="0" applyNumberFormat="1" applyFont="1" applyBorder="1" applyAlignment="1">
      <alignment horizontal="center" vertical="center"/>
    </xf>
    <xf numFmtId="168" fontId="0" fillId="0" borderId="41" xfId="0" applyNumberFormat="1" applyBorder="1" applyAlignment="1">
      <alignment horizontal="center" vertical="center"/>
    </xf>
    <xf numFmtId="2" fontId="0" fillId="0" borderId="56" xfId="0" applyNumberFormat="1" applyBorder="1" applyAlignment="1">
      <alignment horizontal="center" vertical="center"/>
    </xf>
    <xf numFmtId="2" fontId="0" fillId="3" borderId="56" xfId="0" applyNumberFormat="1" applyFill="1" applyBorder="1" applyAlignment="1">
      <alignment horizontal="center" vertical="center"/>
    </xf>
    <xf numFmtId="2" fontId="0" fillId="0" borderId="28" xfId="0" applyNumberFormat="1" applyBorder="1" applyAlignment="1">
      <alignment horizontal="center" vertical="center"/>
    </xf>
    <xf numFmtId="2" fontId="0" fillId="0" borderId="65" xfId="0" applyNumberForma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23" xfId="0" applyBorder="1" applyAlignment="1">
      <alignment horizontal="center" vertical="center"/>
    </xf>
    <xf numFmtId="0" fontId="0" fillId="0" borderId="4" xfId="0" applyBorder="1" applyAlignment="1">
      <alignment horizontal="center" vertical="center"/>
    </xf>
    <xf numFmtId="168" fontId="0" fillId="0" borderId="69" xfId="0" applyNumberFormat="1" applyBorder="1" applyAlignment="1">
      <alignment horizontal="center" vertical="center"/>
    </xf>
    <xf numFmtId="168" fontId="0" fillId="0" borderId="38" xfId="0" applyNumberFormat="1" applyBorder="1" applyAlignment="1">
      <alignment horizontal="center" vertical="center"/>
    </xf>
    <xf numFmtId="2" fontId="0" fillId="3" borderId="38" xfId="0" applyNumberFormat="1" applyFill="1" applyBorder="1" applyAlignment="1">
      <alignment horizontal="center" vertical="center"/>
    </xf>
    <xf numFmtId="2" fontId="0" fillId="0" borderId="29" xfId="0" applyNumberFormat="1" applyBorder="1" applyAlignment="1">
      <alignment horizontal="center" vertical="center"/>
    </xf>
    <xf numFmtId="2" fontId="0" fillId="0" borderId="30" xfId="0" applyNumberFormat="1" applyBorder="1" applyAlignment="1">
      <alignment horizontal="center" vertical="center"/>
    </xf>
    <xf numFmtId="2" fontId="0" fillId="3" borderId="30" xfId="0" applyNumberFormat="1" applyFill="1" applyBorder="1" applyAlignment="1">
      <alignment horizontal="center" vertical="center"/>
    </xf>
    <xf numFmtId="2" fontId="0" fillId="0" borderId="33" xfId="0" applyNumberFormat="1" applyBorder="1" applyAlignment="1">
      <alignment horizontal="center" vertical="center"/>
    </xf>
    <xf numFmtId="0" fontId="17" fillId="0" borderId="6" xfId="0" applyFont="1" applyBorder="1" applyAlignment="1">
      <alignment horizontal="left" vertical="center"/>
    </xf>
    <xf numFmtId="0" fontId="17" fillId="0" borderId="1" xfId="0" applyFont="1" applyBorder="1" applyAlignment="1">
      <alignment horizontal="left" vertical="center"/>
    </xf>
    <xf numFmtId="0" fontId="17" fillId="0" borderId="24" xfId="0" applyFont="1" applyBorder="1" applyAlignment="1">
      <alignment horizontal="left"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10" fontId="19" fillId="0" borderId="0" xfId="0" applyNumberFormat="1" applyFont="1" applyBorder="1" applyAlignment="1">
      <alignment horizontal="center" vertical="center"/>
    </xf>
    <xf numFmtId="0" fontId="17" fillId="0" borderId="1" xfId="0" applyFont="1" applyBorder="1" applyAlignment="1">
      <alignment horizontal="left" vertical="center" wrapText="1"/>
    </xf>
    <xf numFmtId="10" fontId="20" fillId="0" borderId="25" xfId="0" applyNumberFormat="1" applyFont="1" applyBorder="1" applyAlignment="1">
      <alignment horizontal="center" vertical="center"/>
    </xf>
    <xf numFmtId="170" fontId="20" fillId="0" borderId="6" xfId="0" applyNumberFormat="1" applyFont="1" applyBorder="1" applyAlignment="1">
      <alignment horizontal="center" vertical="center"/>
    </xf>
    <xf numFmtId="10" fontId="20" fillId="0" borderId="2" xfId="0" applyNumberFormat="1" applyFont="1" applyBorder="1" applyAlignment="1">
      <alignment horizontal="center" vertical="center"/>
    </xf>
    <xf numFmtId="170" fontId="20" fillId="0" borderId="1" xfId="0" applyNumberFormat="1" applyFont="1" applyBorder="1" applyAlignment="1">
      <alignment horizontal="center" vertical="center"/>
    </xf>
    <xf numFmtId="166" fontId="20" fillId="0" borderId="7" xfId="0" applyNumberFormat="1" applyFont="1" applyBorder="1" applyAlignment="1">
      <alignment horizontal="center" vertical="center"/>
    </xf>
    <xf numFmtId="10" fontId="20" fillId="0" borderId="1" xfId="0" applyNumberFormat="1" applyFont="1" applyBorder="1" applyAlignment="1">
      <alignment horizontal="center" vertical="center"/>
    </xf>
    <xf numFmtId="10" fontId="20" fillId="2" borderId="2" xfId="0" applyNumberFormat="1" applyFont="1" applyFill="1" applyBorder="1" applyAlignment="1">
      <alignment horizontal="center" vertical="center"/>
    </xf>
    <xf numFmtId="172" fontId="20" fillId="0" borderId="1" xfId="0" applyNumberFormat="1" applyFont="1" applyBorder="1" applyAlignment="1">
      <alignment horizontal="center" vertical="center"/>
    </xf>
    <xf numFmtId="10" fontId="20" fillId="0" borderId="1" xfId="0" applyNumberFormat="1" applyFont="1" applyFill="1" applyBorder="1" applyAlignment="1">
      <alignment horizontal="center" vertical="center"/>
    </xf>
    <xf numFmtId="9" fontId="20" fillId="0" borderId="1" xfId="0" applyNumberFormat="1" applyFont="1" applyBorder="1" applyAlignment="1">
      <alignment horizontal="center" vertical="center"/>
    </xf>
    <xf numFmtId="170" fontId="20" fillId="2" borderId="1" xfId="0" applyNumberFormat="1" applyFont="1" applyFill="1" applyBorder="1" applyAlignment="1">
      <alignment horizontal="center" vertical="center"/>
    </xf>
    <xf numFmtId="166" fontId="20" fillId="0" borderId="1" xfId="0" applyNumberFormat="1" applyFont="1" applyBorder="1" applyAlignment="1">
      <alignment horizontal="center" vertical="center"/>
    </xf>
    <xf numFmtId="10" fontId="20" fillId="0" borderId="1" xfId="3" applyNumberFormat="1" applyFont="1" applyFill="1" applyBorder="1" applyAlignment="1">
      <alignment horizontal="center" vertical="center"/>
    </xf>
    <xf numFmtId="2" fontId="21" fillId="0" borderId="40" xfId="0" applyNumberFormat="1" applyFont="1" applyBorder="1" applyAlignment="1">
      <alignment horizontal="center" vertical="center"/>
    </xf>
    <xf numFmtId="2" fontId="21" fillId="0" borderId="41" xfId="0" applyNumberFormat="1" applyFont="1" applyBorder="1" applyAlignment="1">
      <alignment horizontal="center" vertical="center"/>
    </xf>
    <xf numFmtId="2" fontId="21" fillId="3" borderId="41" xfId="0" applyNumberFormat="1" applyFont="1" applyFill="1" applyBorder="1" applyAlignment="1">
      <alignment horizontal="center" vertical="center"/>
    </xf>
    <xf numFmtId="0" fontId="21" fillId="0" borderId="5" xfId="0" applyFont="1" applyBorder="1" applyAlignment="1">
      <alignment horizontal="center" vertical="center"/>
    </xf>
    <xf numFmtId="43" fontId="22" fillId="0" borderId="1" xfId="1" applyFont="1" applyFill="1" applyBorder="1" applyAlignment="1">
      <alignment horizontal="right" vertical="center"/>
    </xf>
    <xf numFmtId="43" fontId="23" fillId="0" borderId="1" xfId="1" applyFont="1" applyFill="1" applyBorder="1" applyAlignment="1">
      <alignment horizontal="right" vertical="center"/>
    </xf>
    <xf numFmtId="2" fontId="0" fillId="3" borderId="30" xfId="0" quotePrefix="1" applyNumberFormat="1" applyFill="1" applyBorder="1" applyAlignment="1">
      <alignment horizontal="center" vertical="center"/>
    </xf>
    <xf numFmtId="2" fontId="0" fillId="0" borderId="0" xfId="0" applyNumberFormat="1"/>
    <xf numFmtId="2" fontId="16" fillId="0" borderId="26" xfId="0" applyNumberFormat="1" applyFont="1" applyBorder="1" applyAlignment="1">
      <alignment horizontal="center" vertical="center"/>
    </xf>
    <xf numFmtId="0" fontId="0" fillId="0" borderId="70" xfId="0" applyBorder="1" applyAlignment="1">
      <alignment horizontal="center" vertical="center"/>
    </xf>
    <xf numFmtId="10" fontId="20" fillId="0" borderId="2" xfId="0" applyNumberFormat="1" applyFont="1" applyFill="1" applyBorder="1" applyAlignment="1">
      <alignment horizontal="center" vertical="center"/>
    </xf>
    <xf numFmtId="10" fontId="20" fillId="0" borderId="2" xfId="3" applyNumberFormat="1" applyFont="1" applyFill="1" applyBorder="1" applyAlignment="1">
      <alignment horizontal="center" vertical="center"/>
    </xf>
    <xf numFmtId="0" fontId="0" fillId="0" borderId="26" xfId="0" applyBorder="1"/>
    <xf numFmtId="2" fontId="0" fillId="0" borderId="78" xfId="0" applyNumberFormat="1" applyBorder="1" applyAlignment="1">
      <alignment horizontal="center" vertical="center"/>
    </xf>
    <xf numFmtId="2" fontId="0" fillId="0" borderId="26" xfId="0" applyNumberFormat="1" applyBorder="1" applyAlignment="1">
      <alignment horizontal="center" vertical="center"/>
    </xf>
    <xf numFmtId="2" fontId="0" fillId="3" borderId="26" xfId="0" applyNumberFormat="1" applyFill="1" applyBorder="1" applyAlignment="1">
      <alignment horizontal="center" vertical="center"/>
    </xf>
    <xf numFmtId="2" fontId="2" fillId="0" borderId="79" xfId="0" applyNumberFormat="1" applyFont="1" applyBorder="1" applyAlignment="1">
      <alignment horizontal="center" vertical="center"/>
    </xf>
    <xf numFmtId="4" fontId="14" fillId="0" borderId="2" xfId="0" applyNumberFormat="1" applyFont="1" applyBorder="1" applyAlignment="1">
      <alignment horizontal="center"/>
    </xf>
    <xf numFmtId="4" fontId="14" fillId="0" borderId="1" xfId="0" applyNumberFormat="1" applyFont="1" applyBorder="1" applyAlignment="1">
      <alignment horizontal="center"/>
    </xf>
    <xf numFmtId="4" fontId="0" fillId="0" borderId="26" xfId="0" applyNumberFormat="1" applyBorder="1" applyAlignment="1">
      <alignment horizontal="center" vertical="center"/>
    </xf>
    <xf numFmtId="9" fontId="0" fillId="0" borderId="1" xfId="0" applyNumberFormat="1" applyBorder="1" applyAlignment="1">
      <alignment horizontal="center" vertical="center"/>
    </xf>
    <xf numFmtId="0" fontId="12" fillId="0" borderId="66" xfId="0" applyFont="1" applyBorder="1" applyAlignment="1">
      <alignment horizontal="center" vertical="center"/>
    </xf>
    <xf numFmtId="0" fontId="0" fillId="0" borderId="1" xfId="0" applyBorder="1"/>
    <xf numFmtId="2" fontId="13" fillId="0" borderId="41" xfId="0" applyNumberFormat="1" applyFont="1" applyFill="1" applyBorder="1" applyAlignment="1">
      <alignment horizontal="center" vertical="center"/>
    </xf>
    <xf numFmtId="4" fontId="0" fillId="0" borderId="1" xfId="0" applyNumberFormat="1" applyBorder="1" applyAlignment="1">
      <alignment horizontal="center"/>
    </xf>
    <xf numFmtId="4" fontId="0" fillId="0" borderId="1" xfId="0" applyNumberFormat="1" applyBorder="1" applyAlignment="1">
      <alignment horizontal="center" vertical="center"/>
    </xf>
    <xf numFmtId="0" fontId="0" fillId="0" borderId="82" xfId="0" applyBorder="1"/>
    <xf numFmtId="168" fontId="0" fillId="0" borderId="64" xfId="0" applyNumberFormat="1" applyBorder="1" applyAlignment="1">
      <alignment horizontal="center" vertical="center"/>
    </xf>
    <xf numFmtId="168" fontId="0" fillId="0" borderId="56" xfId="0" applyNumberFormat="1" applyBorder="1" applyAlignment="1">
      <alignment horizontal="center" vertical="center"/>
    </xf>
    <xf numFmtId="2" fontId="16" fillId="0" borderId="83" xfId="0" applyNumberFormat="1" applyFont="1" applyBorder="1" applyAlignment="1">
      <alignment horizontal="center" vertical="center"/>
    </xf>
    <xf numFmtId="0" fontId="17" fillId="0" borderId="92" xfId="0" applyFont="1" applyBorder="1" applyAlignment="1">
      <alignment horizontal="center" vertical="center"/>
    </xf>
    <xf numFmtId="0" fontId="17" fillId="0" borderId="5" xfId="0" applyFont="1" applyBorder="1" applyAlignment="1">
      <alignment horizontal="center" vertical="center"/>
    </xf>
    <xf numFmtId="9" fontId="0" fillId="0" borderId="26" xfId="0" applyNumberFormat="1" applyBorder="1" applyAlignment="1">
      <alignment horizontal="center" vertical="center"/>
    </xf>
    <xf numFmtId="10" fontId="20" fillId="0" borderId="26" xfId="0" applyNumberFormat="1" applyFont="1" applyBorder="1" applyAlignment="1">
      <alignment horizontal="center" vertical="center"/>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7" fillId="0" borderId="95" xfId="0" applyFont="1" applyBorder="1" applyAlignment="1">
      <alignment horizontal="center" vertical="center"/>
    </xf>
    <xf numFmtId="0" fontId="10" fillId="0" borderId="60" xfId="0" applyFont="1" applyBorder="1" applyAlignment="1">
      <alignment horizontal="center" vertical="center"/>
    </xf>
    <xf numFmtId="10" fontId="10" fillId="0" borderId="54" xfId="0" applyNumberFormat="1" applyFont="1" applyBorder="1" applyAlignment="1">
      <alignment horizontal="center" vertical="center"/>
    </xf>
    <xf numFmtId="10" fontId="10" fillId="0" borderId="97" xfId="0" applyNumberFormat="1" applyFont="1" applyBorder="1" applyAlignment="1">
      <alignment horizontal="center" vertical="center"/>
    </xf>
    <xf numFmtId="10" fontId="10" fillId="0" borderId="98" xfId="0" applyNumberFormat="1" applyFont="1" applyBorder="1" applyAlignment="1">
      <alignment horizontal="center" vertical="center"/>
    </xf>
    <xf numFmtId="10" fontId="10" fillId="0" borderId="60" xfId="0" applyNumberFormat="1" applyFont="1" applyBorder="1" applyAlignment="1">
      <alignment horizontal="center" vertical="center"/>
    </xf>
    <xf numFmtId="10" fontId="10" fillId="0" borderId="61" xfId="0" applyNumberFormat="1" applyFont="1" applyBorder="1" applyAlignment="1">
      <alignment horizontal="center" vertical="center"/>
    </xf>
    <xf numFmtId="166" fontId="20" fillId="0" borderId="21" xfId="0" applyNumberFormat="1" applyFont="1" applyBorder="1" applyAlignment="1">
      <alignment horizontal="center" vertical="center"/>
    </xf>
    <xf numFmtId="10" fontId="20" fillId="0" borderId="6" xfId="0" applyNumberFormat="1" applyFont="1" applyBorder="1" applyAlignment="1">
      <alignment horizontal="center" vertical="center"/>
    </xf>
    <xf numFmtId="16" fontId="0" fillId="0" borderId="100" xfId="0" applyNumberFormat="1" applyBorder="1" applyAlignment="1">
      <alignment horizontal="center" vertical="center"/>
    </xf>
    <xf numFmtId="0" fontId="0" fillId="0" borderId="45" xfId="0" applyBorder="1" applyAlignment="1">
      <alignment horizontal="center" vertical="center"/>
    </xf>
    <xf numFmtId="10" fontId="10" fillId="0" borderId="59" xfId="0" applyNumberFormat="1" applyFont="1" applyBorder="1" applyAlignment="1">
      <alignment horizontal="center" vertical="center"/>
    </xf>
    <xf numFmtId="173" fontId="20" fillId="0" borderId="1" xfId="0" applyNumberFormat="1" applyFont="1" applyBorder="1" applyAlignment="1">
      <alignment horizontal="center" vertical="center"/>
    </xf>
    <xf numFmtId="10" fontId="18" fillId="0" borderId="46" xfId="0" applyNumberFormat="1" applyFont="1" applyBorder="1" applyAlignment="1">
      <alignment horizontal="center" vertical="center"/>
    </xf>
    <xf numFmtId="10" fontId="18" fillId="0" borderId="41" xfId="0" applyNumberFormat="1" applyFont="1" applyBorder="1" applyAlignment="1">
      <alignment horizontal="center" vertical="center"/>
    </xf>
    <xf numFmtId="10" fontId="18" fillId="0" borderId="52" xfId="0" applyNumberFormat="1" applyFont="1" applyBorder="1" applyAlignment="1">
      <alignment horizontal="center" vertical="center"/>
    </xf>
    <xf numFmtId="10" fontId="17" fillId="0" borderId="96" xfId="0" applyNumberFormat="1" applyFont="1" applyBorder="1" applyAlignment="1">
      <alignment horizontal="center" vertical="center"/>
    </xf>
    <xf numFmtId="0" fontId="11" fillId="0" borderId="105" xfId="0" applyFont="1" applyBorder="1" applyAlignment="1">
      <alignment vertical="center"/>
    </xf>
    <xf numFmtId="0" fontId="2" fillId="0" borderId="105" xfId="0" applyFont="1" applyBorder="1" applyAlignment="1">
      <alignment horizontal="center" vertical="center"/>
    </xf>
    <xf numFmtId="0" fontId="0" fillId="2" borderId="105" xfId="0" applyFill="1" applyBorder="1" applyAlignment="1">
      <alignment horizontal="center" vertical="center"/>
    </xf>
    <xf numFmtId="0" fontId="10" fillId="0" borderId="105" xfId="0" applyFont="1" applyBorder="1" applyAlignment="1">
      <alignment horizontal="center" vertical="center"/>
    </xf>
    <xf numFmtId="0" fontId="11" fillId="0" borderId="103" xfId="0" applyFont="1" applyBorder="1" applyAlignment="1">
      <alignment vertical="center"/>
    </xf>
    <xf numFmtId="0" fontId="2" fillId="0" borderId="103" xfId="0" applyFont="1" applyBorder="1" applyAlignment="1">
      <alignment horizontal="center" vertical="center"/>
    </xf>
    <xf numFmtId="0" fontId="0" fillId="2" borderId="103" xfId="0" applyFill="1" applyBorder="1" applyAlignment="1">
      <alignment horizontal="center" vertical="center"/>
    </xf>
    <xf numFmtId="0" fontId="10" fillId="0" borderId="103" xfId="0" applyFont="1" applyBorder="1" applyAlignment="1">
      <alignment horizontal="center" vertical="center"/>
    </xf>
    <xf numFmtId="10" fontId="18" fillId="0" borderId="108" xfId="0" applyNumberFormat="1" applyFont="1" applyBorder="1" applyAlignment="1">
      <alignment horizontal="center" vertical="center"/>
    </xf>
    <xf numFmtId="10" fontId="18" fillId="0" borderId="109" xfId="0" applyNumberFormat="1" applyFont="1" applyBorder="1" applyAlignment="1">
      <alignment horizontal="center" vertical="center"/>
    </xf>
    <xf numFmtId="10" fontId="18" fillId="0" borderId="110" xfId="0" applyNumberFormat="1" applyFont="1" applyBorder="1" applyAlignment="1">
      <alignment horizontal="center" vertical="center"/>
    </xf>
    <xf numFmtId="10" fontId="17" fillId="0" borderId="111" xfId="0" applyNumberFormat="1" applyFont="1" applyBorder="1" applyAlignment="1">
      <alignment horizontal="center" vertical="center"/>
    </xf>
    <xf numFmtId="4" fontId="0" fillId="0" borderId="41" xfId="0" applyNumberFormat="1" applyBorder="1" applyAlignment="1">
      <alignment horizontal="center"/>
    </xf>
    <xf numFmtId="0" fontId="0" fillId="0" borderId="2" xfId="0" applyBorder="1"/>
    <xf numFmtId="4" fontId="9" fillId="0" borderId="1" xfId="0" applyNumberFormat="1" applyFont="1" applyBorder="1" applyAlignment="1">
      <alignment horizontal="center" vertical="center"/>
    </xf>
    <xf numFmtId="0" fontId="7" fillId="0" borderId="0" xfId="0" applyFont="1" applyAlignment="1" applyProtection="1">
      <alignment horizontal="center" vertical="center"/>
      <protection hidden="1"/>
    </xf>
    <xf numFmtId="0" fontId="7" fillId="0" borderId="0" xfId="0" applyFont="1" applyProtection="1">
      <protection hidden="1"/>
    </xf>
    <xf numFmtId="0" fontId="9" fillId="5" borderId="150" xfId="0" applyFont="1" applyFill="1" applyBorder="1" applyAlignment="1" applyProtection="1">
      <alignment horizontal="center" vertical="center" wrapText="1"/>
      <protection hidden="1"/>
    </xf>
    <xf numFmtId="0" fontId="9" fillId="5" borderId="166" xfId="0" applyFont="1" applyFill="1" applyBorder="1" applyAlignment="1" applyProtection="1">
      <alignment horizontal="center" vertical="center" wrapText="1"/>
      <protection hidden="1"/>
    </xf>
    <xf numFmtId="0" fontId="9" fillId="5" borderId="49" xfId="0" applyFont="1" applyFill="1" applyBorder="1" applyAlignment="1" applyProtection="1">
      <alignment horizontal="center" vertical="center" wrapText="1"/>
      <protection hidden="1"/>
    </xf>
    <xf numFmtId="0" fontId="9" fillId="5" borderId="51" xfId="0" applyFont="1" applyFill="1" applyBorder="1" applyAlignment="1" applyProtection="1">
      <alignment horizontal="center" vertical="center" wrapText="1"/>
      <protection hidden="1"/>
    </xf>
    <xf numFmtId="0" fontId="7" fillId="5" borderId="144" xfId="0" applyFont="1" applyFill="1" applyBorder="1" applyAlignment="1" applyProtection="1">
      <alignment horizontal="center" vertical="center"/>
      <protection hidden="1"/>
    </xf>
    <xf numFmtId="165" fontId="7" fillId="0" borderId="0" xfId="0" applyNumberFormat="1" applyFont="1" applyProtection="1">
      <protection hidden="1"/>
    </xf>
    <xf numFmtId="0" fontId="7" fillId="5" borderId="0" xfId="0" applyFont="1" applyFill="1" applyProtection="1">
      <protection hidden="1"/>
    </xf>
    <xf numFmtId="0" fontId="7" fillId="5" borderId="1" xfId="0" applyFont="1" applyFill="1" applyBorder="1" applyAlignment="1" applyProtection="1">
      <alignment horizontal="center" vertical="center"/>
      <protection hidden="1"/>
    </xf>
    <xf numFmtId="0" fontId="9" fillId="5" borderId="49" xfId="0" applyFont="1" applyFill="1" applyBorder="1" applyAlignment="1" applyProtection="1">
      <alignment horizontal="center" vertical="center"/>
      <protection hidden="1"/>
    </xf>
    <xf numFmtId="0" fontId="9" fillId="5" borderId="144" xfId="0" applyFont="1" applyFill="1" applyBorder="1" applyAlignment="1" applyProtection="1">
      <alignment horizontal="center" vertical="center" wrapText="1"/>
      <protection hidden="1"/>
    </xf>
    <xf numFmtId="0" fontId="7" fillId="5" borderId="6" xfId="0" applyFont="1" applyFill="1" applyBorder="1" applyAlignment="1" applyProtection="1">
      <alignment horizontal="center" vertical="center"/>
      <protection hidden="1"/>
    </xf>
    <xf numFmtId="0" fontId="4" fillId="5" borderId="1" xfId="0" applyFont="1" applyFill="1" applyBorder="1" applyAlignment="1" applyProtection="1">
      <alignment horizontal="left" vertical="center" wrapText="1"/>
      <protection hidden="1"/>
    </xf>
    <xf numFmtId="0" fontId="4" fillId="5" borderId="24" xfId="0" applyFont="1" applyFill="1" applyBorder="1" applyAlignment="1" applyProtection="1">
      <alignment horizontal="left" vertical="center" wrapText="1"/>
      <protection hidden="1"/>
    </xf>
    <xf numFmtId="0" fontId="7" fillId="5" borderId="24" xfId="0" applyFont="1" applyFill="1" applyBorder="1" applyAlignment="1" applyProtection="1">
      <alignment horizontal="center" vertical="center"/>
      <protection hidden="1"/>
    </xf>
    <xf numFmtId="0" fontId="4" fillId="5" borderId="18" xfId="0" applyFont="1" applyFill="1" applyBorder="1" applyAlignment="1" applyProtection="1">
      <alignment horizontal="left" vertical="center"/>
      <protection hidden="1"/>
    </xf>
    <xf numFmtId="0" fontId="7" fillId="5" borderId="18" xfId="0" applyFont="1" applyFill="1" applyBorder="1" applyAlignment="1" applyProtection="1">
      <alignment horizontal="center" vertical="center"/>
      <protection hidden="1"/>
    </xf>
    <xf numFmtId="0" fontId="27" fillId="5" borderId="4" xfId="0" applyFont="1" applyFill="1" applyBorder="1" applyAlignment="1" applyProtection="1">
      <alignment horizontal="right" vertical="center" wrapText="1"/>
      <protection hidden="1"/>
    </xf>
    <xf numFmtId="0" fontId="9" fillId="5" borderId="4" xfId="0" applyFont="1" applyFill="1" applyBorder="1" applyAlignment="1" applyProtection="1">
      <alignment horizontal="center" vertical="center"/>
      <protection hidden="1"/>
    </xf>
    <xf numFmtId="0" fontId="4" fillId="5" borderId="6" xfId="0" applyFont="1" applyFill="1" applyBorder="1" applyAlignment="1" applyProtection="1">
      <alignment horizontal="left" vertical="center" wrapText="1"/>
      <protection hidden="1"/>
    </xf>
    <xf numFmtId="0" fontId="9" fillId="5" borderId="54" xfId="0" applyFont="1" applyFill="1" applyBorder="1" applyAlignment="1" applyProtection="1">
      <alignment horizontal="center" vertical="center"/>
      <protection hidden="1"/>
    </xf>
    <xf numFmtId="0" fontId="7" fillId="6" borderId="0" xfId="0" applyFont="1" applyFill="1" applyProtection="1">
      <protection hidden="1"/>
    </xf>
    <xf numFmtId="0" fontId="9" fillId="5" borderId="143" xfId="0" applyFont="1" applyFill="1" applyBorder="1" applyAlignment="1" applyProtection="1">
      <alignment horizontal="center"/>
      <protection hidden="1"/>
    </xf>
    <xf numFmtId="0" fontId="9" fillId="5" borderId="51" xfId="0" applyFont="1" applyFill="1" applyBorder="1" applyAlignment="1" applyProtection="1">
      <alignment horizontal="center"/>
      <protection hidden="1"/>
    </xf>
    <xf numFmtId="0" fontId="4" fillId="5" borderId="46" xfId="0" applyFont="1" applyFill="1" applyBorder="1" applyAlignment="1" applyProtection="1">
      <alignment horizontal="left" vertical="center" wrapText="1"/>
      <protection hidden="1"/>
    </xf>
    <xf numFmtId="0" fontId="4" fillId="5" borderId="41" xfId="0" applyFont="1" applyFill="1" applyBorder="1" applyAlignment="1" applyProtection="1">
      <alignment horizontal="left" vertical="center" wrapText="1"/>
      <protection hidden="1"/>
    </xf>
    <xf numFmtId="0" fontId="4" fillId="5" borderId="52" xfId="0" applyFont="1" applyFill="1" applyBorder="1" applyAlignment="1" applyProtection="1">
      <alignment horizontal="left" vertical="center" wrapText="1"/>
      <protection hidden="1"/>
    </xf>
    <xf numFmtId="0" fontId="27" fillId="5" borderId="45" xfId="0" applyFont="1" applyFill="1" applyBorder="1" applyAlignment="1" applyProtection="1">
      <alignment horizontal="right" vertical="center" wrapText="1"/>
      <protection hidden="1"/>
    </xf>
    <xf numFmtId="0" fontId="4" fillId="5" borderId="44" xfId="0" applyFont="1" applyFill="1" applyBorder="1" applyAlignment="1" applyProtection="1">
      <alignment horizontal="left" vertical="center" wrapText="1"/>
      <protection hidden="1"/>
    </xf>
    <xf numFmtId="0" fontId="4" fillId="5" borderId="45" xfId="0" applyFont="1" applyFill="1" applyBorder="1" applyAlignment="1" applyProtection="1">
      <alignment horizontal="right" vertical="center" wrapText="1"/>
      <protection hidden="1"/>
    </xf>
    <xf numFmtId="0" fontId="4" fillId="5" borderId="46" xfId="0" applyFont="1" applyFill="1" applyBorder="1" applyAlignment="1" applyProtection="1">
      <alignment horizontal="left" vertical="center"/>
      <protection hidden="1"/>
    </xf>
    <xf numFmtId="0" fontId="4" fillId="5" borderId="44" xfId="0" applyFont="1" applyFill="1" applyBorder="1" applyAlignment="1" applyProtection="1">
      <alignment horizontal="left" vertical="center"/>
      <protection hidden="1"/>
    </xf>
    <xf numFmtId="0" fontId="4" fillId="5" borderId="59" xfId="0" applyFont="1" applyFill="1" applyBorder="1" applyAlignment="1" applyProtection="1">
      <alignment horizontal="right" vertical="center" wrapText="1"/>
      <protection hidden="1"/>
    </xf>
    <xf numFmtId="0" fontId="8" fillId="5" borderId="0" xfId="0" applyFont="1" applyFill="1" applyAlignment="1" applyProtection="1">
      <alignment horizontal="center" vertical="center"/>
      <protection hidden="1"/>
    </xf>
    <xf numFmtId="0" fontId="8" fillId="5" borderId="0" xfId="0" applyFont="1" applyFill="1" applyAlignment="1" applyProtection="1">
      <alignment vertical="center"/>
      <protection hidden="1"/>
    </xf>
    <xf numFmtId="0" fontId="19" fillId="5" borderId="0" xfId="0" applyFont="1" applyFill="1" applyAlignment="1" applyProtection="1">
      <alignment vertical="center"/>
      <protection hidden="1"/>
    </xf>
    <xf numFmtId="0" fontId="39" fillId="5" borderId="0" xfId="0" applyFont="1" applyFill="1" applyAlignment="1" applyProtection="1">
      <alignment vertical="center"/>
      <protection hidden="1"/>
    </xf>
    <xf numFmtId="0" fontId="26" fillId="5" borderId="0" xfId="0" applyFont="1" applyFill="1" applyAlignment="1" applyProtection="1">
      <alignment vertical="center"/>
      <protection hidden="1"/>
    </xf>
    <xf numFmtId="0" fontId="3" fillId="0" borderId="0" xfId="0" applyFont="1" applyProtection="1">
      <protection hidden="1"/>
    </xf>
    <xf numFmtId="0" fontId="28" fillId="0" borderId="0" xfId="0" applyFont="1" applyProtection="1">
      <protection hidden="1"/>
    </xf>
    <xf numFmtId="2" fontId="3" fillId="0" borderId="0" xfId="0" applyNumberFormat="1" applyFont="1" applyProtection="1">
      <protection hidden="1"/>
    </xf>
    <xf numFmtId="0" fontId="3" fillId="0" borderId="0" xfId="0" applyFont="1" applyAlignment="1" applyProtection="1">
      <alignment horizontal="center" vertical="center"/>
      <protection hidden="1"/>
    </xf>
    <xf numFmtId="2" fontId="3" fillId="0" borderId="0" xfId="0" applyNumberFormat="1" applyFont="1" applyAlignment="1" applyProtection="1">
      <alignment horizontal="center" vertical="center"/>
      <protection hidden="1"/>
    </xf>
    <xf numFmtId="0" fontId="3" fillId="5" borderId="0" xfId="0" applyFont="1" applyFill="1" applyProtection="1">
      <protection hidden="1"/>
    </xf>
    <xf numFmtId="0" fontId="28" fillId="5" borderId="119" xfId="0" applyFont="1" applyFill="1" applyBorder="1" applyAlignment="1" applyProtection="1">
      <alignment horizontal="center" vertical="center" wrapText="1"/>
      <protection hidden="1"/>
    </xf>
    <xf numFmtId="0" fontId="28" fillId="5" borderId="121" xfId="0" applyNumberFormat="1" applyFont="1" applyFill="1" applyBorder="1" applyAlignment="1" applyProtection="1">
      <alignment horizontal="center" vertical="center"/>
      <protection hidden="1"/>
    </xf>
    <xf numFmtId="0" fontId="28" fillId="5" borderId="4" xfId="0" applyNumberFormat="1" applyFont="1" applyFill="1" applyBorder="1" applyAlignment="1" applyProtection="1">
      <alignment horizontal="center" vertical="center"/>
      <protection hidden="1"/>
    </xf>
    <xf numFmtId="0" fontId="28" fillId="5" borderId="45" xfId="0" applyNumberFormat="1" applyFont="1" applyFill="1" applyBorder="1" applyAlignment="1" applyProtection="1">
      <alignment horizontal="center" vertical="center"/>
      <protection hidden="1"/>
    </xf>
    <xf numFmtId="0" fontId="28" fillId="5" borderId="3" xfId="0" applyNumberFormat="1" applyFont="1" applyFill="1" applyBorder="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8" fillId="5" borderId="0" xfId="0" applyFont="1" applyFill="1" applyProtection="1">
      <protection hidden="1"/>
    </xf>
    <xf numFmtId="0" fontId="0" fillId="5" borderId="0" xfId="0" applyFill="1" applyProtection="1">
      <protection hidden="1"/>
    </xf>
    <xf numFmtId="0" fontId="0" fillId="0" borderId="0" xfId="0" applyProtection="1">
      <protection hidden="1"/>
    </xf>
    <xf numFmtId="43" fontId="32" fillId="0" borderId="0" xfId="1" applyFont="1" applyFill="1" applyBorder="1" applyAlignment="1" applyProtection="1">
      <alignment horizontal="right" vertical="center"/>
      <protection hidden="1"/>
    </xf>
    <xf numFmtId="0" fontId="0" fillId="5" borderId="0" xfId="0" applyFill="1" applyBorder="1" applyProtection="1">
      <protection hidden="1"/>
    </xf>
    <xf numFmtId="0" fontId="0" fillId="6" borderId="0" xfId="0" applyFill="1" applyProtection="1">
      <protection hidden="1"/>
    </xf>
    <xf numFmtId="2" fontId="33" fillId="6" borderId="0" xfId="0" applyNumberFormat="1" applyFont="1" applyFill="1" applyBorder="1" applyAlignment="1" applyProtection="1">
      <alignment horizontal="center" vertical="center"/>
      <protection hidden="1"/>
    </xf>
    <xf numFmtId="0" fontId="0" fillId="6" borderId="0" xfId="0" applyFill="1" applyBorder="1" applyProtection="1">
      <protection hidden="1"/>
    </xf>
    <xf numFmtId="0" fontId="3" fillId="0" borderId="0" xfId="0" applyFont="1" applyBorder="1" applyProtection="1">
      <protection hidden="1"/>
    </xf>
    <xf numFmtId="0" fontId="9" fillId="5" borderId="143" xfId="0" applyFont="1" applyFill="1" applyBorder="1" applyAlignment="1" applyProtection="1">
      <alignment horizontal="center" vertical="center"/>
      <protection hidden="1"/>
    </xf>
    <xf numFmtId="0" fontId="9" fillId="5" borderId="50" xfId="0" applyFont="1" applyFill="1" applyBorder="1" applyAlignment="1" applyProtection="1">
      <alignment horizontal="center" vertical="center"/>
      <protection hidden="1"/>
    </xf>
    <xf numFmtId="0" fontId="28" fillId="7" borderId="45" xfId="0" applyNumberFormat="1" applyFont="1" applyFill="1" applyBorder="1" applyAlignment="1" applyProtection="1">
      <alignment horizontal="center" vertical="center"/>
      <protection hidden="1"/>
    </xf>
    <xf numFmtId="0" fontId="28" fillId="3" borderId="45" xfId="0" applyNumberFormat="1" applyFont="1" applyFill="1" applyBorder="1" applyAlignment="1" applyProtection="1">
      <alignment horizontal="center" vertical="center"/>
      <protection hidden="1"/>
    </xf>
    <xf numFmtId="0" fontId="28" fillId="10" borderId="45" xfId="0" applyNumberFormat="1" applyFont="1" applyFill="1" applyBorder="1" applyAlignment="1" applyProtection="1">
      <alignment horizontal="center" vertical="center"/>
      <protection hidden="1"/>
    </xf>
    <xf numFmtId="0" fontId="28" fillId="11" borderId="45" xfId="0" applyNumberFormat="1" applyFont="1" applyFill="1" applyBorder="1" applyAlignment="1" applyProtection="1">
      <alignment horizontal="center" vertical="center"/>
      <protection hidden="1"/>
    </xf>
    <xf numFmtId="2" fontId="33" fillId="12" borderId="61" xfId="0" applyNumberFormat="1" applyFont="1" applyFill="1" applyBorder="1" applyAlignment="1" applyProtection="1">
      <alignment horizontal="center" vertical="center"/>
      <protection hidden="1"/>
    </xf>
    <xf numFmtId="0" fontId="29" fillId="6" borderId="0" xfId="0" applyFont="1" applyFill="1" applyBorder="1" applyProtection="1">
      <protection hidden="1"/>
    </xf>
    <xf numFmtId="2" fontId="33" fillId="12" borderId="53" xfId="0" applyNumberFormat="1" applyFont="1" applyFill="1" applyBorder="1" applyAlignment="1" applyProtection="1">
      <alignment horizontal="center" vertical="center"/>
    </xf>
    <xf numFmtId="2" fontId="33" fillId="12" borderId="61" xfId="0" applyNumberFormat="1" applyFont="1" applyFill="1" applyBorder="1" applyAlignment="1" applyProtection="1">
      <alignment horizontal="center" vertical="center"/>
    </xf>
    <xf numFmtId="0" fontId="0" fillId="0" borderId="147" xfId="0" applyBorder="1" applyProtection="1"/>
    <xf numFmtId="0" fontId="0" fillId="0" borderId="127" xfId="0" applyBorder="1" applyProtection="1"/>
    <xf numFmtId="2" fontId="33" fillId="0" borderId="147" xfId="0" applyNumberFormat="1" applyFont="1" applyBorder="1" applyAlignment="1" applyProtection="1">
      <alignment horizontal="center" vertical="center"/>
    </xf>
    <xf numFmtId="2" fontId="33" fillId="0" borderId="127" xfId="0" applyNumberFormat="1" applyFont="1" applyBorder="1" applyAlignment="1" applyProtection="1">
      <alignment horizontal="center" vertical="center"/>
    </xf>
    <xf numFmtId="0" fontId="47" fillId="5" borderId="18" xfId="0" applyFont="1" applyFill="1" applyBorder="1" applyAlignment="1" applyProtection="1">
      <alignment horizontal="center" vertical="center"/>
      <protection hidden="1"/>
    </xf>
    <xf numFmtId="0" fontId="47" fillId="5" borderId="134" xfId="0" applyFont="1" applyFill="1" applyBorder="1" applyAlignment="1" applyProtection="1">
      <alignment horizontal="center" vertical="center"/>
      <protection hidden="1"/>
    </xf>
    <xf numFmtId="2" fontId="47" fillId="5" borderId="18" xfId="0" applyNumberFormat="1" applyFont="1" applyFill="1" applyBorder="1" applyAlignment="1" applyProtection="1">
      <alignment horizontal="center" vertical="center"/>
    </xf>
    <xf numFmtId="0" fontId="29" fillId="5" borderId="0" xfId="0" applyFont="1" applyFill="1" applyAlignment="1" applyProtection="1">
      <alignment horizontal="center"/>
    </xf>
    <xf numFmtId="4" fontId="47" fillId="5" borderId="18" xfId="0" applyNumberFormat="1" applyFont="1" applyFill="1" applyBorder="1" applyAlignment="1" applyProtection="1">
      <alignment horizontal="center" vertical="center"/>
    </xf>
    <xf numFmtId="164" fontId="47" fillId="5" borderId="134" xfId="0" applyNumberFormat="1" applyFont="1" applyFill="1" applyBorder="1" applyAlignment="1" applyProtection="1">
      <alignment horizontal="center" vertical="center"/>
    </xf>
    <xf numFmtId="4" fontId="47" fillId="5" borderId="1" xfId="0" applyNumberFormat="1" applyFont="1" applyFill="1" applyBorder="1" applyAlignment="1" applyProtection="1">
      <alignment horizontal="center" vertical="center"/>
    </xf>
    <xf numFmtId="164" fontId="47" fillId="5" borderId="26" xfId="0" applyNumberFormat="1" applyFont="1" applyFill="1" applyBorder="1" applyAlignment="1" applyProtection="1">
      <alignment horizontal="center" vertical="center"/>
    </xf>
    <xf numFmtId="0" fontId="29" fillId="0" borderId="0" xfId="0" applyFont="1" applyAlignment="1" applyProtection="1">
      <alignment horizontal="center"/>
    </xf>
    <xf numFmtId="0" fontId="29" fillId="0" borderId="0" xfId="0" applyFont="1" applyProtection="1"/>
    <xf numFmtId="0" fontId="47" fillId="0" borderId="0" xfId="0" applyFont="1" applyProtection="1"/>
    <xf numFmtId="3" fontId="47" fillId="5" borderId="1" xfId="0" applyNumberFormat="1" applyFont="1" applyFill="1" applyBorder="1" applyAlignment="1" applyProtection="1">
      <alignment horizontal="center" vertical="center"/>
      <protection hidden="1"/>
    </xf>
    <xf numFmtId="0" fontId="47" fillId="5" borderId="26" xfId="0" applyFont="1" applyFill="1" applyBorder="1" applyAlignment="1" applyProtection="1">
      <alignment horizontal="center" vertical="center"/>
      <protection hidden="1"/>
    </xf>
    <xf numFmtId="2" fontId="47" fillId="5" borderId="1" xfId="0" applyNumberFormat="1" applyFont="1" applyFill="1" applyBorder="1" applyAlignment="1" applyProtection="1">
      <alignment horizontal="center" vertical="center"/>
    </xf>
    <xf numFmtId="167" fontId="47" fillId="5" borderId="5" xfId="0" applyNumberFormat="1" applyFont="1" applyFill="1" applyBorder="1" applyAlignment="1" applyProtection="1">
      <alignment horizontal="center" vertical="center"/>
    </xf>
    <xf numFmtId="4" fontId="47" fillId="5" borderId="4" xfId="0" applyNumberFormat="1" applyFont="1" applyFill="1" applyBorder="1" applyAlignment="1" applyProtection="1">
      <alignment horizontal="center" vertical="center"/>
    </xf>
    <xf numFmtId="0" fontId="47" fillId="5" borderId="24" xfId="0" applyFont="1" applyFill="1" applyBorder="1" applyAlignment="1" applyProtection="1">
      <alignment horizontal="center" vertical="center"/>
      <protection hidden="1"/>
    </xf>
    <xf numFmtId="0" fontId="47" fillId="5" borderId="133" xfId="0" applyFont="1" applyFill="1" applyBorder="1" applyAlignment="1" applyProtection="1">
      <alignment horizontal="center" vertical="center"/>
      <protection hidden="1"/>
    </xf>
    <xf numFmtId="2" fontId="47" fillId="5" borderId="4" xfId="0" applyNumberFormat="1" applyFont="1" applyFill="1" applyBorder="1" applyAlignment="1" applyProtection="1">
      <alignment horizontal="center" vertical="center"/>
    </xf>
    <xf numFmtId="2" fontId="47" fillId="5" borderId="100" xfId="0" applyNumberFormat="1" applyFont="1" applyFill="1" applyBorder="1" applyAlignment="1" applyProtection="1">
      <alignment horizontal="center" vertical="center"/>
    </xf>
    <xf numFmtId="2" fontId="48" fillId="5" borderId="100" xfId="0" applyNumberFormat="1" applyFont="1" applyFill="1" applyBorder="1" applyAlignment="1" applyProtection="1">
      <alignment horizontal="center" vertical="center"/>
    </xf>
    <xf numFmtId="168" fontId="48" fillId="5" borderId="4" xfId="0" applyNumberFormat="1" applyFont="1" applyFill="1" applyBorder="1" applyAlignment="1" applyProtection="1">
      <alignment horizontal="center" vertical="center"/>
    </xf>
    <xf numFmtId="0" fontId="47" fillId="5" borderId="4" xfId="0" applyFont="1" applyFill="1" applyBorder="1" applyAlignment="1" applyProtection="1">
      <alignment horizontal="center"/>
    </xf>
    <xf numFmtId="2" fontId="47" fillId="5" borderId="6" xfId="0" applyNumberFormat="1" applyFont="1" applyFill="1" applyBorder="1" applyAlignment="1" applyProtection="1">
      <alignment horizontal="center" vertical="center"/>
    </xf>
    <xf numFmtId="0" fontId="48" fillId="5" borderId="4" xfId="0" applyFont="1" applyFill="1" applyBorder="1" applyAlignment="1" applyProtection="1">
      <alignment horizontal="center" vertical="center"/>
      <protection hidden="1"/>
    </xf>
    <xf numFmtId="0" fontId="48" fillId="5" borderId="100" xfId="0" applyFont="1" applyFill="1" applyBorder="1" applyAlignment="1" applyProtection="1">
      <alignment horizontal="center" vertical="center"/>
      <protection hidden="1"/>
    </xf>
    <xf numFmtId="2" fontId="48" fillId="5" borderId="4" xfId="0" applyNumberFormat="1" applyFont="1" applyFill="1" applyBorder="1" applyAlignment="1" applyProtection="1">
      <alignment horizontal="center" vertical="center"/>
    </xf>
    <xf numFmtId="0" fontId="47" fillId="5" borderId="6" xfId="0" applyFont="1" applyFill="1" applyBorder="1" applyAlignment="1" applyProtection="1">
      <alignment horizontal="center" vertical="center"/>
      <protection hidden="1"/>
    </xf>
    <xf numFmtId="0" fontId="47" fillId="5" borderId="99" xfId="0" applyFont="1" applyFill="1" applyBorder="1" applyAlignment="1" applyProtection="1">
      <alignment horizontal="center" vertical="center"/>
      <protection hidden="1"/>
    </xf>
    <xf numFmtId="0" fontId="47" fillId="5" borderId="1" xfId="0" applyFont="1" applyFill="1" applyBorder="1" applyAlignment="1" applyProtection="1">
      <alignment horizontal="center" vertical="center"/>
      <protection hidden="1"/>
    </xf>
    <xf numFmtId="2" fontId="47" fillId="5" borderId="24" xfId="0" applyNumberFormat="1" applyFont="1" applyFill="1" applyBorder="1" applyAlignment="1" applyProtection="1">
      <alignment horizontal="center" vertical="center"/>
    </xf>
    <xf numFmtId="2" fontId="47" fillId="5" borderId="133" xfId="0" applyNumberFormat="1" applyFont="1" applyFill="1" applyBorder="1" applyAlignment="1" applyProtection="1">
      <alignment horizontal="center" vertical="center"/>
    </xf>
    <xf numFmtId="4" fontId="47" fillId="5" borderId="6" xfId="0" applyNumberFormat="1" applyFont="1" applyFill="1" applyBorder="1" applyAlignment="1" applyProtection="1">
      <alignment horizontal="center" vertical="center"/>
    </xf>
    <xf numFmtId="3" fontId="47" fillId="5" borderId="5" xfId="0" applyNumberFormat="1" applyFont="1" applyFill="1" applyBorder="1" applyAlignment="1" applyProtection="1">
      <alignment horizontal="center" vertical="center"/>
    </xf>
    <xf numFmtId="3" fontId="47" fillId="5" borderId="18" xfId="0" applyNumberFormat="1" applyFont="1" applyFill="1" applyBorder="1" applyAlignment="1" applyProtection="1">
      <alignment horizontal="center" vertical="center"/>
      <protection hidden="1"/>
    </xf>
    <xf numFmtId="3" fontId="47" fillId="5" borderId="26" xfId="0" applyNumberFormat="1" applyFont="1" applyFill="1" applyBorder="1" applyAlignment="1" applyProtection="1">
      <alignment horizontal="center" vertical="center"/>
    </xf>
    <xf numFmtId="3" fontId="47" fillId="5" borderId="24" xfId="0" applyNumberFormat="1" applyFont="1" applyFill="1" applyBorder="1" applyAlignment="1" applyProtection="1">
      <alignment horizontal="center" vertical="center"/>
      <protection hidden="1"/>
    </xf>
    <xf numFmtId="0" fontId="48" fillId="5" borderId="54" xfId="0" applyFont="1" applyFill="1" applyBorder="1" applyAlignment="1" applyProtection="1">
      <alignment horizontal="center" vertical="center"/>
      <protection hidden="1"/>
    </xf>
    <xf numFmtId="0" fontId="48" fillId="5" borderId="61" xfId="0" applyFont="1" applyFill="1" applyBorder="1" applyAlignment="1" applyProtection="1">
      <alignment horizontal="center" vertical="center"/>
      <protection hidden="1"/>
    </xf>
    <xf numFmtId="2" fontId="47" fillId="5" borderId="54" xfId="0" applyNumberFormat="1" applyFont="1" applyFill="1" applyBorder="1" applyAlignment="1" applyProtection="1">
      <alignment horizontal="center" vertical="center"/>
    </xf>
    <xf numFmtId="165" fontId="47" fillId="5" borderId="53" xfId="0" applyNumberFormat="1" applyFont="1" applyFill="1" applyBorder="1" applyAlignment="1" applyProtection="1">
      <alignment horizontal="center" vertical="center"/>
    </xf>
    <xf numFmtId="165" fontId="47" fillId="5" borderId="61" xfId="0" applyNumberFormat="1" applyFont="1" applyFill="1" applyBorder="1" applyAlignment="1" applyProtection="1">
      <alignment horizontal="center" vertical="center"/>
    </xf>
    <xf numFmtId="168" fontId="48" fillId="5" borderId="54" xfId="0" applyNumberFormat="1" applyFont="1" applyFill="1" applyBorder="1" applyAlignment="1" applyProtection="1">
      <alignment horizontal="center" vertical="center"/>
    </xf>
    <xf numFmtId="0" fontId="29" fillId="5" borderId="0" xfId="0" applyFont="1" applyFill="1" applyAlignment="1" applyProtection="1">
      <alignment horizontal="center"/>
      <protection hidden="1"/>
    </xf>
    <xf numFmtId="0" fontId="51" fillId="5" borderId="0" xfId="0" applyFont="1" applyFill="1" applyAlignment="1" applyProtection="1">
      <alignment horizontal="center"/>
    </xf>
    <xf numFmtId="2" fontId="48" fillId="5" borderId="0" xfId="0" applyNumberFormat="1" applyFont="1" applyFill="1" applyAlignment="1" applyProtection="1">
      <alignment horizontal="center"/>
    </xf>
    <xf numFmtId="2" fontId="49" fillId="5" borderId="0" xfId="0" applyNumberFormat="1" applyFont="1" applyFill="1" applyAlignment="1" applyProtection="1">
      <alignment horizontal="center"/>
    </xf>
    <xf numFmtId="0" fontId="29" fillId="5" borderId="0" xfId="0" applyFont="1" applyFill="1" applyProtection="1"/>
    <xf numFmtId="2" fontId="47" fillId="5" borderId="116" xfId="0" applyNumberFormat="1" applyFont="1" applyFill="1" applyBorder="1" applyAlignment="1" applyProtection="1">
      <alignment horizontal="center" vertical="center"/>
      <protection hidden="1"/>
    </xf>
    <xf numFmtId="2" fontId="47" fillId="5" borderId="134" xfId="0" applyNumberFormat="1" applyFont="1" applyFill="1" applyBorder="1" applyAlignment="1" applyProtection="1">
      <alignment horizontal="center" vertical="center"/>
      <protection hidden="1"/>
    </xf>
    <xf numFmtId="2" fontId="47" fillId="5" borderId="116" xfId="0" applyNumberFormat="1" applyFont="1" applyFill="1" applyBorder="1" applyAlignment="1" applyProtection="1">
      <alignment horizontal="center" vertical="center"/>
    </xf>
    <xf numFmtId="168" fontId="47" fillId="5" borderId="18" xfId="0" applyNumberFormat="1" applyFont="1" applyFill="1" applyBorder="1" applyAlignment="1" applyProtection="1">
      <alignment horizontal="center" vertical="center"/>
    </xf>
    <xf numFmtId="2" fontId="47" fillId="5" borderId="5" xfId="0" applyNumberFormat="1" applyFont="1" applyFill="1" applyBorder="1" applyAlignment="1" applyProtection="1">
      <alignment horizontal="center" vertical="center"/>
      <protection hidden="1"/>
    </xf>
    <xf numFmtId="4" fontId="47" fillId="5" borderId="1" xfId="0" applyNumberFormat="1" applyFont="1" applyFill="1" applyBorder="1" applyAlignment="1" applyProtection="1">
      <alignment horizontal="center" vertical="center"/>
      <protection hidden="1"/>
    </xf>
    <xf numFmtId="2" fontId="47" fillId="5" borderId="26" xfId="0" applyNumberFormat="1" applyFont="1" applyFill="1" applyBorder="1" applyAlignment="1" applyProtection="1">
      <alignment horizontal="center" vertical="center"/>
      <protection hidden="1"/>
    </xf>
    <xf numFmtId="2" fontId="47" fillId="5" borderId="5" xfId="0" applyNumberFormat="1" applyFont="1" applyFill="1" applyBorder="1" applyAlignment="1" applyProtection="1">
      <alignment horizontal="center" vertical="center"/>
    </xf>
    <xf numFmtId="168" fontId="47" fillId="5" borderId="1" xfId="0" applyNumberFormat="1" applyFont="1" applyFill="1" applyBorder="1" applyAlignment="1" applyProtection="1">
      <alignment horizontal="center" vertical="center"/>
    </xf>
    <xf numFmtId="2" fontId="47" fillId="5" borderId="93" xfId="0" applyNumberFormat="1" applyFont="1" applyFill="1" applyBorder="1" applyAlignment="1" applyProtection="1">
      <alignment horizontal="center" vertical="center"/>
      <protection hidden="1"/>
    </xf>
    <xf numFmtId="2" fontId="47" fillId="5" borderId="133" xfId="0" applyNumberFormat="1" applyFont="1" applyFill="1" applyBorder="1" applyAlignment="1" applyProtection="1">
      <alignment horizontal="center" vertical="center"/>
      <protection hidden="1"/>
    </xf>
    <xf numFmtId="2" fontId="47" fillId="5" borderId="114" xfId="0" applyNumberFormat="1" applyFont="1" applyFill="1" applyBorder="1" applyAlignment="1" applyProtection="1">
      <alignment horizontal="center" vertical="center"/>
      <protection hidden="1"/>
    </xf>
    <xf numFmtId="2" fontId="48" fillId="5" borderId="100" xfId="0" applyNumberFormat="1" applyFont="1" applyFill="1" applyBorder="1" applyAlignment="1" applyProtection="1">
      <alignment horizontal="center" vertical="center"/>
      <protection hidden="1"/>
    </xf>
    <xf numFmtId="2" fontId="48" fillId="5" borderId="4" xfId="0" applyNumberFormat="1" applyFont="1" applyFill="1" applyBorder="1" applyAlignment="1" applyProtection="1">
      <alignment horizontal="center" vertical="center"/>
      <protection hidden="1"/>
    </xf>
    <xf numFmtId="2" fontId="47" fillId="5" borderId="114" xfId="0" applyNumberFormat="1" applyFont="1" applyFill="1" applyBorder="1" applyAlignment="1" applyProtection="1">
      <alignment horizontal="center" vertical="center"/>
    </xf>
    <xf numFmtId="0" fontId="47" fillId="5" borderId="4" xfId="0" applyFont="1" applyFill="1" applyBorder="1" applyProtection="1"/>
    <xf numFmtId="2" fontId="47" fillId="5" borderId="134" xfId="0" applyNumberFormat="1" applyFont="1" applyFill="1" applyBorder="1" applyAlignment="1" applyProtection="1">
      <alignment horizontal="center"/>
      <protection hidden="1"/>
    </xf>
    <xf numFmtId="4" fontId="47" fillId="5" borderId="5" xfId="0" applyNumberFormat="1" applyFont="1" applyFill="1" applyBorder="1" applyAlignment="1" applyProtection="1">
      <alignment horizontal="center" vertical="center"/>
      <protection hidden="1"/>
    </xf>
    <xf numFmtId="2" fontId="47" fillId="5" borderId="26" xfId="0" applyNumberFormat="1" applyFont="1" applyFill="1" applyBorder="1" applyAlignment="1" applyProtection="1">
      <alignment horizontal="center"/>
      <protection hidden="1"/>
    </xf>
    <xf numFmtId="3" fontId="47" fillId="5" borderId="5" xfId="0" applyNumberFormat="1" applyFont="1" applyFill="1" applyBorder="1" applyAlignment="1" applyProtection="1">
      <alignment horizontal="center" vertical="center"/>
      <protection hidden="1"/>
    </xf>
    <xf numFmtId="2" fontId="47" fillId="5" borderId="4" xfId="0" applyNumberFormat="1" applyFont="1" applyFill="1" applyBorder="1" applyAlignment="1" applyProtection="1">
      <alignment horizontal="center" vertical="center"/>
      <protection hidden="1"/>
    </xf>
    <xf numFmtId="2" fontId="47" fillId="5" borderId="100" xfId="0" applyNumberFormat="1" applyFont="1" applyFill="1" applyBorder="1" applyAlignment="1" applyProtection="1">
      <alignment horizontal="center" vertical="center"/>
      <protection hidden="1"/>
    </xf>
    <xf numFmtId="2" fontId="50" fillId="5" borderId="4" xfId="0" applyNumberFormat="1" applyFont="1" applyFill="1" applyBorder="1" applyAlignment="1" applyProtection="1">
      <alignment horizontal="center" vertical="center"/>
      <protection hidden="1"/>
    </xf>
    <xf numFmtId="2" fontId="50" fillId="5" borderId="4" xfId="0" applyNumberFormat="1" applyFont="1" applyFill="1" applyBorder="1" applyAlignment="1" applyProtection="1">
      <alignment horizontal="center" vertical="center"/>
    </xf>
    <xf numFmtId="0" fontId="47" fillId="5" borderId="114" xfId="0" applyFont="1" applyFill="1" applyBorder="1" applyAlignment="1" applyProtection="1">
      <alignment horizontal="center" vertical="center"/>
      <protection hidden="1"/>
    </xf>
    <xf numFmtId="0" fontId="47" fillId="5" borderId="4" xfId="0" applyFont="1" applyFill="1" applyBorder="1" applyAlignment="1" applyProtection="1">
      <alignment horizontal="center" vertical="center"/>
      <protection hidden="1"/>
    </xf>
    <xf numFmtId="2" fontId="47" fillId="5" borderId="1" xfId="0" applyNumberFormat="1" applyFont="1" applyFill="1" applyBorder="1" applyAlignment="1" applyProtection="1">
      <alignment horizontal="center" vertical="center"/>
      <protection hidden="1"/>
    </xf>
    <xf numFmtId="0" fontId="47" fillId="5" borderId="100" xfId="0" applyFont="1" applyFill="1" applyBorder="1" applyAlignment="1" applyProtection="1">
      <alignment horizontal="center" vertical="center"/>
      <protection hidden="1"/>
    </xf>
    <xf numFmtId="0" fontId="47" fillId="5" borderId="53" xfId="0" applyFont="1" applyFill="1" applyBorder="1" applyAlignment="1" applyProtection="1">
      <alignment horizontal="center" vertical="center"/>
      <protection hidden="1"/>
    </xf>
    <xf numFmtId="0" fontId="47" fillId="0" borderId="0" xfId="0" applyFont="1" applyProtection="1">
      <protection hidden="1"/>
    </xf>
    <xf numFmtId="2" fontId="48" fillId="0" borderId="0" xfId="0" applyNumberFormat="1" applyFont="1" applyProtection="1">
      <protection hidden="1"/>
    </xf>
    <xf numFmtId="2" fontId="48" fillId="5" borderId="0" xfId="0" applyNumberFormat="1" applyFont="1" applyFill="1" applyProtection="1">
      <protection hidden="1"/>
    </xf>
    <xf numFmtId="2" fontId="50" fillId="0" borderId="0" xfId="0" applyNumberFormat="1" applyFont="1" applyProtection="1">
      <protection hidden="1"/>
    </xf>
    <xf numFmtId="2" fontId="49" fillId="5" borderId="0" xfId="0" applyNumberFormat="1" applyFont="1" applyFill="1" applyProtection="1">
      <protection hidden="1"/>
    </xf>
    <xf numFmtId="2" fontId="50" fillId="0" borderId="0" xfId="0" applyNumberFormat="1" applyFont="1" applyProtection="1"/>
    <xf numFmtId="2" fontId="49" fillId="5" borderId="0" xfId="0" applyNumberFormat="1" applyFont="1" applyFill="1" applyProtection="1"/>
    <xf numFmtId="0" fontId="47" fillId="5" borderId="0" xfId="0" applyFont="1" applyFill="1" applyProtection="1"/>
    <xf numFmtId="2" fontId="49" fillId="5" borderId="0" xfId="0" applyNumberFormat="1" applyFont="1" applyFill="1" applyAlignment="1" applyProtection="1">
      <alignment horizontal="center" vertical="center"/>
    </xf>
    <xf numFmtId="0" fontId="47" fillId="0" borderId="0" xfId="0" applyFont="1" applyAlignment="1" applyProtection="1">
      <alignment horizontal="center" vertical="center"/>
    </xf>
    <xf numFmtId="0" fontId="47" fillId="0" borderId="0" xfId="0" applyFont="1" applyAlignment="1" applyProtection="1">
      <alignment horizontal="center" vertical="center"/>
      <protection hidden="1"/>
    </xf>
    <xf numFmtId="2" fontId="48" fillId="0" borderId="0" xfId="0" applyNumberFormat="1" applyFont="1" applyAlignment="1" applyProtection="1">
      <alignment horizontal="center" vertical="center"/>
    </xf>
    <xf numFmtId="2" fontId="48" fillId="5" borderId="0" xfId="0" applyNumberFormat="1" applyFont="1" applyFill="1" applyAlignment="1" applyProtection="1">
      <alignment horizontal="center" vertical="center"/>
    </xf>
    <xf numFmtId="2" fontId="50" fillId="0" borderId="0" xfId="0" applyNumberFormat="1" applyFont="1" applyAlignment="1" applyProtection="1">
      <alignment horizontal="center" vertical="center"/>
    </xf>
    <xf numFmtId="168" fontId="48" fillId="5" borderId="0" xfId="0" applyNumberFormat="1" applyFont="1" applyFill="1" applyAlignment="1" applyProtection="1">
      <alignment horizontal="center" vertical="center"/>
    </xf>
    <xf numFmtId="0" fontId="52" fillId="13" borderId="1" xfId="0" applyFont="1" applyFill="1" applyBorder="1" applyAlignment="1">
      <alignment horizontal="center" vertical="center"/>
    </xf>
    <xf numFmtId="0" fontId="0" fillId="15" borderId="0" xfId="0" applyFill="1" applyProtection="1">
      <protection hidden="1"/>
    </xf>
    <xf numFmtId="0" fontId="19" fillId="15" borderId="0" xfId="0" applyFont="1" applyFill="1" applyAlignment="1" applyProtection="1">
      <protection hidden="1"/>
    </xf>
    <xf numFmtId="0" fontId="26" fillId="15" borderId="0" xfId="0" applyFont="1" applyFill="1" applyAlignment="1" applyProtection="1">
      <protection hidden="1"/>
    </xf>
    <xf numFmtId="0" fontId="39" fillId="15" borderId="0" xfId="0" applyFont="1" applyFill="1" applyAlignment="1" applyProtection="1">
      <protection hidden="1"/>
    </xf>
    <xf numFmtId="0" fontId="3" fillId="15" borderId="0" xfId="0" applyFont="1" applyFill="1" applyProtection="1">
      <protection hidden="1"/>
    </xf>
    <xf numFmtId="0" fontId="28" fillId="15" borderId="20" xfId="0" applyFont="1" applyFill="1" applyBorder="1" applyAlignment="1" applyProtection="1">
      <alignment horizontal="center" vertical="center" wrapText="1"/>
      <protection hidden="1"/>
    </xf>
    <xf numFmtId="0" fontId="28" fillId="15" borderId="21" xfId="0" applyFont="1" applyFill="1" applyBorder="1" applyAlignment="1" applyProtection="1">
      <alignment horizontal="center" vertical="center"/>
      <protection hidden="1"/>
    </xf>
    <xf numFmtId="0" fontId="28" fillId="15" borderId="6" xfId="0" applyFont="1" applyFill="1" applyBorder="1" applyAlignment="1" applyProtection="1">
      <alignment horizontal="left" vertical="center"/>
      <protection hidden="1"/>
    </xf>
    <xf numFmtId="10" fontId="3" fillId="15" borderId="6" xfId="0" applyNumberFormat="1" applyFont="1" applyFill="1" applyBorder="1" applyAlignment="1" applyProtection="1">
      <alignment horizontal="center" vertical="center"/>
      <protection hidden="1"/>
    </xf>
    <xf numFmtId="10" fontId="3" fillId="15" borderId="20" xfId="0" applyNumberFormat="1" applyFont="1" applyFill="1" applyBorder="1" applyAlignment="1" applyProtection="1">
      <alignment horizontal="center" vertical="center"/>
      <protection hidden="1"/>
    </xf>
    <xf numFmtId="10" fontId="3" fillId="15" borderId="1" xfId="0" applyNumberFormat="1" applyFont="1" applyFill="1" applyBorder="1" applyAlignment="1" applyProtection="1">
      <alignment horizontal="center" vertical="center"/>
      <protection hidden="1"/>
    </xf>
    <xf numFmtId="0" fontId="28" fillId="15" borderId="7" xfId="0" applyFont="1" applyFill="1" applyBorder="1" applyAlignment="1" applyProtection="1">
      <alignment horizontal="center" vertical="center"/>
      <protection hidden="1"/>
    </xf>
    <xf numFmtId="0" fontId="28" fillId="15" borderId="1" xfId="0" applyFont="1" applyFill="1" applyBorder="1" applyAlignment="1" applyProtection="1">
      <alignment horizontal="left" vertical="center"/>
      <protection hidden="1"/>
    </xf>
    <xf numFmtId="10" fontId="3" fillId="15" borderId="1" xfId="3" applyNumberFormat="1" applyFont="1" applyFill="1" applyBorder="1" applyAlignment="1" applyProtection="1">
      <alignment horizontal="center" vertical="center"/>
      <protection hidden="1"/>
    </xf>
    <xf numFmtId="0" fontId="26" fillId="15" borderId="8" xfId="0" applyFont="1" applyFill="1" applyBorder="1" applyAlignment="1" applyProtection="1">
      <alignment horizontal="center" vertical="center"/>
      <protection hidden="1"/>
    </xf>
    <xf numFmtId="0" fontId="26" fillId="15" borderId="9" xfId="0" applyFont="1" applyFill="1" applyBorder="1" applyAlignment="1" applyProtection="1">
      <alignment horizontal="center" vertical="center"/>
      <protection hidden="1"/>
    </xf>
    <xf numFmtId="10" fontId="26" fillId="15" borderId="9" xfId="0" applyNumberFormat="1" applyFont="1" applyFill="1" applyBorder="1" applyAlignment="1" applyProtection="1">
      <alignment horizontal="center" vertical="center"/>
      <protection hidden="1"/>
    </xf>
    <xf numFmtId="10" fontId="4" fillId="15" borderId="1" xfId="3" applyNumberFormat="1" applyFont="1" applyFill="1" applyBorder="1" applyAlignment="1" applyProtection="1">
      <alignment horizontal="center" vertical="center"/>
      <protection hidden="1"/>
    </xf>
    <xf numFmtId="0" fontId="18" fillId="15" borderId="0" xfId="0" applyFont="1" applyFill="1" applyAlignment="1" applyProtection="1">
      <alignment horizontal="center" vertical="center"/>
      <protection hidden="1"/>
    </xf>
    <xf numFmtId="0" fontId="18" fillId="15" borderId="0" xfId="0" applyFont="1" applyFill="1" applyAlignment="1" applyProtection="1">
      <alignment vertical="center"/>
      <protection hidden="1"/>
    </xf>
    <xf numFmtId="0" fontId="40" fillId="15" borderId="0" xfId="0" applyFont="1" applyFill="1" applyAlignment="1" applyProtection="1">
      <alignment horizontal="center" vertical="center"/>
      <protection hidden="1"/>
    </xf>
    <xf numFmtId="0" fontId="40" fillId="15" borderId="0" xfId="0" applyFont="1" applyFill="1" applyAlignment="1" applyProtection="1">
      <alignment vertical="center"/>
      <protection hidden="1"/>
    </xf>
    <xf numFmtId="0" fontId="3" fillId="15" borderId="0" xfId="0" applyFont="1" applyFill="1" applyAlignment="1" applyProtection="1">
      <alignment vertical="center"/>
      <protection hidden="1"/>
    </xf>
    <xf numFmtId="0" fontId="10" fillId="15" borderId="0" xfId="0" applyFont="1" applyFill="1" applyAlignment="1" applyProtection="1">
      <alignment horizontal="center" vertical="center"/>
      <protection hidden="1"/>
    </xf>
    <xf numFmtId="0" fontId="10" fillId="15" borderId="0" xfId="0" applyFont="1" applyFill="1" applyAlignment="1" applyProtection="1">
      <alignment vertical="center"/>
      <protection hidden="1"/>
    </xf>
    <xf numFmtId="2" fontId="3" fillId="15" borderId="41" xfId="0" applyNumberFormat="1" applyFont="1" applyFill="1" applyBorder="1" applyAlignment="1" applyProtection="1">
      <alignment horizontal="center" vertical="center"/>
      <protection hidden="1"/>
    </xf>
    <xf numFmtId="0" fontId="19" fillId="15" borderId="0" xfId="0" applyFont="1" applyFill="1" applyAlignment="1" applyProtection="1">
      <alignment vertical="center"/>
      <protection hidden="1"/>
    </xf>
    <xf numFmtId="0" fontId="7" fillId="15" borderId="0" xfId="0" applyFont="1" applyFill="1" applyAlignment="1" applyProtection="1">
      <alignment horizontal="center" vertical="center"/>
      <protection hidden="1"/>
    </xf>
    <xf numFmtId="0" fontId="39" fillId="15" borderId="0" xfId="0" applyFont="1" applyFill="1" applyAlignment="1" applyProtection="1">
      <alignment vertical="center"/>
      <protection hidden="1"/>
    </xf>
    <xf numFmtId="0" fontId="26" fillId="15" borderId="0" xfId="0" applyFont="1" applyFill="1" applyAlignment="1" applyProtection="1">
      <alignment vertical="center"/>
      <protection hidden="1"/>
    </xf>
    <xf numFmtId="0" fontId="9" fillId="15" borderId="49" xfId="0" applyFont="1" applyFill="1" applyBorder="1" applyAlignment="1" applyProtection="1">
      <alignment horizontal="center" vertical="center" wrapText="1"/>
    </xf>
    <xf numFmtId="0" fontId="9" fillId="15" borderId="51" xfId="0" applyFont="1" applyFill="1" applyBorder="1" applyAlignment="1" applyProtection="1">
      <alignment horizontal="center" vertical="center" wrapText="1"/>
    </xf>
    <xf numFmtId="0" fontId="7" fillId="15" borderId="144" xfId="0" applyFont="1" applyFill="1" applyBorder="1" applyAlignment="1" applyProtection="1">
      <alignment horizontal="center" vertical="center"/>
    </xf>
    <xf numFmtId="4" fontId="47" fillId="15" borderId="6" xfId="0" applyNumberFormat="1" applyFont="1" applyFill="1" applyBorder="1" applyAlignment="1" applyProtection="1">
      <alignment horizontal="center" vertical="center"/>
    </xf>
    <xf numFmtId="164" fontId="47" fillId="15" borderId="6" xfId="0" applyNumberFormat="1" applyFont="1" applyFill="1" applyBorder="1" applyAlignment="1" applyProtection="1">
      <alignment horizontal="center" vertical="center"/>
    </xf>
    <xf numFmtId="4" fontId="47" fillId="15" borderId="1" xfId="0" applyNumberFormat="1" applyFont="1" applyFill="1" applyBorder="1" applyAlignment="1" applyProtection="1">
      <alignment horizontal="center" vertical="center"/>
    </xf>
    <xf numFmtId="164" fontId="47" fillId="15" borderId="1" xfId="0" applyNumberFormat="1" applyFont="1" applyFill="1" applyBorder="1" applyAlignment="1" applyProtection="1">
      <alignment horizontal="center" vertical="center"/>
    </xf>
    <xf numFmtId="0" fontId="47" fillId="15" borderId="26" xfId="0" applyFont="1" applyFill="1" applyBorder="1" applyAlignment="1" applyProtection="1">
      <alignment horizontal="center" vertical="center"/>
    </xf>
    <xf numFmtId="2" fontId="48" fillId="15" borderId="4" xfId="0" applyNumberFormat="1" applyFont="1" applyFill="1" applyBorder="1" applyAlignment="1" applyProtection="1">
      <alignment horizontal="center" vertical="center"/>
    </xf>
    <xf numFmtId="0" fontId="47" fillId="15" borderId="100" xfId="0" applyFont="1" applyFill="1" applyBorder="1" applyAlignment="1" applyProtection="1">
      <alignment horizontal="center" vertical="center"/>
    </xf>
    <xf numFmtId="0" fontId="47" fillId="15" borderId="134" xfId="0" applyFont="1" applyFill="1" applyBorder="1" applyAlignment="1" applyProtection="1">
      <alignment horizontal="center" vertical="center"/>
    </xf>
    <xf numFmtId="2" fontId="48" fillId="15" borderId="45" xfId="0" applyNumberFormat="1" applyFont="1" applyFill="1" applyBorder="1" applyAlignment="1" applyProtection="1">
      <alignment horizontal="center" vertical="center"/>
    </xf>
    <xf numFmtId="0" fontId="55" fillId="13" borderId="0" xfId="0" applyFont="1" applyFill="1"/>
    <xf numFmtId="0" fontId="55" fillId="0" borderId="0" xfId="0" applyFont="1"/>
    <xf numFmtId="0" fontId="55" fillId="14" borderId="1" xfId="0" applyFont="1" applyFill="1" applyBorder="1" applyAlignment="1">
      <alignment horizontal="center" vertical="center"/>
    </xf>
    <xf numFmtId="0" fontId="55" fillId="0" borderId="1" xfId="0" applyFont="1" applyBorder="1" applyAlignment="1">
      <alignment horizontal="center" vertical="center"/>
    </xf>
    <xf numFmtId="0" fontId="55" fillId="0" borderId="1" xfId="0" applyFont="1" applyBorder="1" applyAlignment="1">
      <alignment horizontal="right" vertical="center"/>
    </xf>
    <xf numFmtId="0" fontId="55" fillId="0" borderId="1" xfId="0" applyFont="1" applyBorder="1" applyAlignment="1">
      <alignment horizontal="left" vertical="center" wrapText="1"/>
    </xf>
    <xf numFmtId="0" fontId="55" fillId="13" borderId="171" xfId="0" applyFont="1" applyFill="1" applyBorder="1" applyAlignment="1">
      <alignment vertical="center" wrapText="1"/>
    </xf>
    <xf numFmtId="0" fontId="55" fillId="0" borderId="0" xfId="0" applyFont="1" applyBorder="1"/>
    <xf numFmtId="0" fontId="29" fillId="0" borderId="0" xfId="0" applyFont="1"/>
    <xf numFmtId="0" fontId="46" fillId="17" borderId="0" xfId="0" applyFont="1" applyFill="1" applyBorder="1" applyAlignment="1" applyProtection="1">
      <alignment horizontal="center" vertical="center"/>
    </xf>
    <xf numFmtId="0" fontId="50" fillId="17" borderId="0" xfId="0" applyFont="1" applyFill="1" applyBorder="1" applyAlignment="1" applyProtection="1">
      <alignment horizontal="center" vertical="center"/>
    </xf>
    <xf numFmtId="0" fontId="62" fillId="0" borderId="0" xfId="0" applyFont="1" applyFill="1" applyBorder="1" applyAlignment="1">
      <alignment horizontal="center" vertical="center" wrapText="1"/>
    </xf>
    <xf numFmtId="0" fontId="63" fillId="0" borderId="0" xfId="0" applyFont="1" applyFill="1" applyBorder="1" applyAlignment="1">
      <alignment wrapText="1"/>
    </xf>
    <xf numFmtId="0" fontId="64" fillId="0" borderId="0" xfId="0" applyFont="1" applyFill="1" applyBorder="1" applyAlignment="1">
      <alignment wrapText="1"/>
    </xf>
    <xf numFmtId="0" fontId="55" fillId="0" borderId="80" xfId="0" applyFont="1" applyBorder="1" applyAlignment="1">
      <alignment horizontal="left" vertical="center" wrapText="1"/>
    </xf>
    <xf numFmtId="0" fontId="55" fillId="18" borderId="80" xfId="0" applyFont="1" applyFill="1" applyBorder="1"/>
    <xf numFmtId="0" fontId="61" fillId="19" borderId="41" xfId="0" applyFont="1" applyFill="1" applyBorder="1" applyAlignment="1" applyProtection="1">
      <alignment horizontal="center" vertical="center" wrapText="1"/>
      <protection locked="0"/>
    </xf>
    <xf numFmtId="0" fontId="55" fillId="16" borderId="80" xfId="0" applyFont="1" applyFill="1" applyBorder="1"/>
    <xf numFmtId="0" fontId="55" fillId="20" borderId="1" xfId="0" applyFont="1" applyFill="1" applyBorder="1" applyAlignment="1">
      <alignment horizontal="center" vertical="center"/>
    </xf>
    <xf numFmtId="0" fontId="55" fillId="20" borderId="1" xfId="0" applyFont="1" applyFill="1" applyBorder="1"/>
    <xf numFmtId="0" fontId="55" fillId="0" borderId="38" xfId="0" applyFont="1" applyBorder="1"/>
    <xf numFmtId="0" fontId="55" fillId="16" borderId="1" xfId="0" applyFont="1" applyFill="1" applyBorder="1" applyAlignment="1">
      <alignment horizontal="center" vertical="center"/>
    </xf>
    <xf numFmtId="0" fontId="55" fillId="18" borderId="1" xfId="0" applyFont="1" applyFill="1" applyBorder="1" applyAlignment="1">
      <alignment horizontal="center" vertical="center"/>
    </xf>
    <xf numFmtId="0" fontId="29" fillId="16" borderId="1" xfId="0" applyFont="1" applyFill="1" applyBorder="1" applyAlignment="1" applyProtection="1">
      <alignment horizontal="left" vertical="center" wrapText="1"/>
      <protection locked="0"/>
    </xf>
    <xf numFmtId="169" fontId="47" fillId="15" borderId="2" xfId="1" applyNumberFormat="1" applyFont="1" applyFill="1" applyBorder="1" applyAlignment="1" applyProtection="1">
      <alignment horizontal="right" vertical="center"/>
      <protection locked="0"/>
    </xf>
    <xf numFmtId="169" fontId="47" fillId="16" borderId="1" xfId="1" applyNumberFormat="1" applyFont="1" applyFill="1" applyBorder="1" applyAlignment="1" applyProtection="1">
      <alignment horizontal="right" vertical="center"/>
      <protection locked="0"/>
    </xf>
    <xf numFmtId="9" fontId="29" fillId="15" borderId="1" xfId="3" applyFont="1" applyFill="1" applyBorder="1" applyAlignment="1" applyProtection="1">
      <alignment horizontal="right" vertical="center"/>
    </xf>
    <xf numFmtId="43" fontId="47" fillId="15" borderId="2" xfId="1" applyNumberFormat="1" applyFont="1" applyFill="1" applyBorder="1" applyAlignment="1" applyProtection="1">
      <alignment horizontal="right" vertical="center"/>
      <protection locked="0"/>
    </xf>
    <xf numFmtId="0" fontId="28" fillId="5" borderId="100" xfId="0" applyFont="1" applyFill="1" applyBorder="1" applyAlignment="1" applyProtection="1">
      <alignment horizontal="center" vertical="center" wrapText="1"/>
      <protection hidden="1"/>
    </xf>
    <xf numFmtId="0" fontId="29" fillId="16" borderId="41" xfId="0" applyFont="1" applyFill="1" applyBorder="1" applyAlignment="1" applyProtection="1">
      <alignment horizontal="left" vertical="center" wrapText="1"/>
      <protection locked="0"/>
    </xf>
    <xf numFmtId="0" fontId="29" fillId="16" borderId="41" xfId="0" applyFont="1" applyFill="1" applyBorder="1" applyAlignment="1" applyProtection="1">
      <alignment horizontal="center" vertical="center" wrapText="1"/>
      <protection locked="0"/>
    </xf>
    <xf numFmtId="0" fontId="29" fillId="0" borderId="0" xfId="0" applyFont="1" applyAlignment="1">
      <alignment horizontal="center" vertical="center"/>
    </xf>
    <xf numFmtId="43" fontId="47" fillId="16" borderId="1" xfId="1" applyNumberFormat="1" applyFont="1" applyFill="1" applyBorder="1" applyAlignment="1" applyProtection="1">
      <alignment horizontal="right" vertical="center"/>
      <protection locked="0"/>
    </xf>
    <xf numFmtId="43" fontId="47" fillId="15" borderId="1" xfId="1" applyNumberFormat="1" applyFont="1" applyFill="1" applyBorder="1" applyAlignment="1" applyProtection="1">
      <alignment horizontal="right" vertical="center"/>
      <protection locked="0"/>
    </xf>
    <xf numFmtId="169" fontId="47" fillId="15" borderId="1" xfId="1" applyNumberFormat="1" applyFont="1" applyFill="1" applyBorder="1" applyAlignment="1" applyProtection="1">
      <alignment horizontal="right" vertical="center"/>
      <protection locked="0"/>
    </xf>
    <xf numFmtId="43" fontId="47" fillId="16" borderId="41" xfId="1" applyNumberFormat="1" applyFont="1" applyFill="1" applyBorder="1" applyAlignment="1" applyProtection="1">
      <alignment horizontal="right" vertical="center"/>
      <protection locked="0"/>
    </xf>
    <xf numFmtId="168" fontId="48" fillId="5" borderId="174" xfId="0" applyNumberFormat="1" applyFont="1" applyFill="1" applyBorder="1" applyAlignment="1" applyProtection="1">
      <alignment horizontal="center" vertical="center"/>
    </xf>
    <xf numFmtId="4" fontId="47" fillId="5" borderId="134" xfId="0" applyNumberFormat="1" applyFont="1" applyFill="1" applyBorder="1" applyAlignment="1" applyProtection="1">
      <alignment horizontal="center" vertical="center"/>
    </xf>
    <xf numFmtId="4" fontId="47" fillId="5" borderId="26" xfId="0" applyNumberFormat="1" applyFont="1" applyFill="1" applyBorder="1" applyAlignment="1" applyProtection="1">
      <alignment horizontal="center" vertical="center"/>
    </xf>
    <xf numFmtId="4" fontId="47" fillId="5" borderId="26" xfId="0" applyNumberFormat="1" applyFont="1" applyFill="1" applyBorder="1" applyAlignment="1" applyProtection="1">
      <alignment horizontal="center" vertical="center"/>
      <protection hidden="1"/>
    </xf>
    <xf numFmtId="0" fontId="7" fillId="6" borderId="0" xfId="0" applyFont="1" applyFill="1" applyBorder="1" applyAlignment="1" applyProtection="1">
      <alignment horizontal="center" vertical="center"/>
      <protection hidden="1"/>
    </xf>
    <xf numFmtId="0" fontId="61" fillId="19" borderId="52" xfId="0" applyFont="1" applyFill="1" applyBorder="1" applyAlignment="1" applyProtection="1">
      <alignment horizontal="center" vertical="center" wrapText="1"/>
      <protection locked="0"/>
    </xf>
    <xf numFmtId="0" fontId="61" fillId="19" borderId="1" xfId="0" applyFont="1" applyFill="1" applyBorder="1" applyAlignment="1" applyProtection="1">
      <alignment horizontal="center" vertical="center" wrapText="1"/>
      <protection locked="0"/>
    </xf>
    <xf numFmtId="0" fontId="29" fillId="15" borderId="0" xfId="0" applyFont="1" applyFill="1" applyBorder="1" applyAlignment="1" applyProtection="1">
      <alignment horizontal="center" vertical="center" wrapText="1"/>
      <protection locked="0"/>
    </xf>
    <xf numFmtId="0" fontId="29" fillId="15" borderId="0" xfId="0" applyFont="1" applyFill="1" applyBorder="1" applyAlignment="1" applyProtection="1">
      <alignment horizontal="left" vertical="center" wrapText="1"/>
      <protection locked="0"/>
    </xf>
    <xf numFmtId="0" fontId="29" fillId="16" borderId="0" xfId="0" applyFont="1" applyFill="1" applyBorder="1" applyAlignment="1" applyProtection="1">
      <alignment horizontal="left" vertical="center" wrapText="1"/>
      <protection locked="0"/>
    </xf>
    <xf numFmtId="0" fontId="29" fillId="16" borderId="0" xfId="0" applyFont="1" applyFill="1" applyBorder="1" applyAlignment="1" applyProtection="1">
      <alignment horizontal="center" vertical="center" wrapText="1"/>
      <protection locked="0"/>
    </xf>
    <xf numFmtId="0" fontId="61" fillId="19" borderId="0" xfId="0" applyFont="1" applyFill="1" applyBorder="1" applyAlignment="1" applyProtection="1">
      <alignment horizontal="center" vertical="center" wrapText="1"/>
      <protection locked="0"/>
    </xf>
    <xf numFmtId="43" fontId="47" fillId="15" borderId="0" xfId="1" applyNumberFormat="1" applyFont="1" applyFill="1" applyBorder="1" applyAlignment="1" applyProtection="1">
      <alignment horizontal="right" vertical="center"/>
      <protection locked="0"/>
    </xf>
    <xf numFmtId="169" fontId="47" fillId="15" borderId="0" xfId="1" applyNumberFormat="1" applyFont="1" applyFill="1" applyBorder="1" applyAlignment="1" applyProtection="1">
      <alignment horizontal="right" vertical="center"/>
      <protection locked="0"/>
    </xf>
    <xf numFmtId="169" fontId="47" fillId="16" borderId="0" xfId="1" applyNumberFormat="1" applyFont="1" applyFill="1" applyBorder="1" applyAlignment="1" applyProtection="1">
      <alignment horizontal="right" vertical="center"/>
      <protection locked="0"/>
    </xf>
    <xf numFmtId="9" fontId="29" fillId="15" borderId="0" xfId="3" applyFont="1" applyFill="1" applyBorder="1" applyAlignment="1" applyProtection="1">
      <alignment horizontal="right" vertical="center"/>
    </xf>
    <xf numFmtId="0" fontId="9" fillId="5" borderId="150" xfId="0" applyFont="1" applyFill="1" applyBorder="1" applyAlignment="1" applyProtection="1">
      <alignment horizontal="center" vertical="center"/>
      <protection hidden="1"/>
    </xf>
    <xf numFmtId="0" fontId="4" fillId="5" borderId="6" xfId="0" applyFont="1" applyFill="1" applyBorder="1" applyAlignment="1" applyProtection="1">
      <alignment horizontal="left" vertical="center"/>
      <protection hidden="1"/>
    </xf>
    <xf numFmtId="0" fontId="4" fillId="5" borderId="4" xfId="0" applyFont="1" applyFill="1" applyBorder="1" applyAlignment="1" applyProtection="1">
      <alignment horizontal="center" vertical="center" wrapText="1"/>
      <protection hidden="1"/>
    </xf>
    <xf numFmtId="0" fontId="7" fillId="5" borderId="4" xfId="0" applyFont="1" applyFill="1" applyBorder="1" applyAlignment="1" applyProtection="1">
      <alignment horizontal="center" vertical="center"/>
      <protection hidden="1"/>
    </xf>
    <xf numFmtId="0" fontId="4" fillId="5" borderId="4" xfId="0" applyFont="1" applyFill="1" applyBorder="1" applyAlignment="1" applyProtection="1">
      <alignment horizontal="left" vertical="center" wrapText="1"/>
      <protection hidden="1"/>
    </xf>
    <xf numFmtId="0" fontId="27" fillId="5" borderId="4" xfId="0" applyFont="1" applyFill="1" applyBorder="1" applyAlignment="1" applyProtection="1">
      <alignment horizontal="center" vertical="center" wrapText="1"/>
      <protection hidden="1"/>
    </xf>
    <xf numFmtId="0" fontId="7" fillId="5" borderId="6" xfId="0" applyFont="1" applyFill="1" applyBorder="1" applyAlignment="1" applyProtection="1">
      <alignment horizontal="left" vertical="center"/>
      <protection hidden="1"/>
    </xf>
    <xf numFmtId="169" fontId="47" fillId="5" borderId="6" xfId="1" applyNumberFormat="1" applyFont="1" applyFill="1" applyBorder="1" applyAlignment="1" applyProtection="1">
      <alignment horizontal="center" vertical="center"/>
      <protection hidden="1"/>
    </xf>
    <xf numFmtId="0" fontId="7" fillId="5" borderId="1" xfId="0" applyFont="1" applyFill="1" applyBorder="1" applyAlignment="1" applyProtection="1">
      <alignment horizontal="left" vertical="center"/>
      <protection hidden="1"/>
    </xf>
    <xf numFmtId="0" fontId="7" fillId="5" borderId="24" xfId="0" applyFont="1" applyFill="1" applyBorder="1" applyAlignment="1" applyProtection="1">
      <alignment horizontal="left" vertical="center"/>
      <protection hidden="1"/>
    </xf>
    <xf numFmtId="0" fontId="27" fillId="5" borderId="9" xfId="0" applyFont="1" applyFill="1" applyBorder="1" applyAlignment="1" applyProtection="1">
      <alignment horizontal="center" vertical="center" wrapText="1"/>
      <protection hidden="1"/>
    </xf>
    <xf numFmtId="0" fontId="9" fillId="5" borderId="9" xfId="0" applyFont="1" applyFill="1" applyBorder="1" applyAlignment="1" applyProtection="1">
      <alignment horizontal="center" vertical="center"/>
      <protection hidden="1"/>
    </xf>
    <xf numFmtId="0" fontId="48" fillId="5" borderId="9" xfId="0" applyFont="1" applyFill="1" applyBorder="1" applyAlignment="1" applyProtection="1">
      <alignment horizontal="center" vertical="center"/>
      <protection hidden="1"/>
    </xf>
    <xf numFmtId="0" fontId="48" fillId="5" borderId="79" xfId="0" applyFont="1" applyFill="1" applyBorder="1" applyAlignment="1" applyProtection="1">
      <alignment horizontal="center" vertical="center"/>
      <protection hidden="1"/>
    </xf>
    <xf numFmtId="0" fontId="27" fillId="5" borderId="54" xfId="0" applyFont="1" applyFill="1" applyBorder="1" applyAlignment="1" applyProtection="1">
      <alignment horizontal="center" vertical="center" wrapText="1"/>
      <protection hidden="1"/>
    </xf>
    <xf numFmtId="0" fontId="7" fillId="5" borderId="80" xfId="0" applyFont="1" applyFill="1" applyBorder="1" applyAlignment="1" applyProtection="1">
      <alignment horizontal="center" vertical="center"/>
      <protection hidden="1"/>
    </xf>
    <xf numFmtId="4" fontId="47" fillId="5" borderId="92" xfId="0" applyNumberFormat="1" applyFont="1" applyFill="1" applyBorder="1" applyAlignment="1" applyProtection="1">
      <alignment horizontal="center" vertical="center"/>
      <protection hidden="1"/>
    </xf>
    <xf numFmtId="4" fontId="47" fillId="5" borderId="6" xfId="0" applyNumberFormat="1" applyFont="1" applyFill="1" applyBorder="1" applyAlignment="1" applyProtection="1">
      <alignment horizontal="center" vertical="center"/>
      <protection hidden="1"/>
    </xf>
    <xf numFmtId="4" fontId="47" fillId="5" borderId="99" xfId="0" applyNumberFormat="1" applyFont="1" applyFill="1" applyBorder="1" applyAlignment="1" applyProtection="1">
      <alignment horizontal="center" vertical="center"/>
      <protection hidden="1"/>
    </xf>
    <xf numFmtId="4" fontId="47" fillId="5" borderId="114" xfId="0" applyNumberFormat="1" applyFont="1" applyFill="1" applyBorder="1" applyAlignment="1" applyProtection="1">
      <alignment horizontal="center" vertical="center"/>
      <protection hidden="1"/>
    </xf>
    <xf numFmtId="4" fontId="47" fillId="5" borderId="138" xfId="0" applyNumberFormat="1" applyFont="1" applyFill="1" applyBorder="1" applyAlignment="1" applyProtection="1">
      <alignment horizontal="center" vertical="center"/>
      <protection hidden="1"/>
    </xf>
    <xf numFmtId="4" fontId="48" fillId="5" borderId="100" xfId="0" applyNumberFormat="1" applyFont="1" applyFill="1" applyBorder="1" applyAlignment="1" applyProtection="1">
      <alignment horizontal="center" vertical="center"/>
      <protection hidden="1"/>
    </xf>
    <xf numFmtId="0" fontId="47" fillId="5" borderId="116" xfId="0" applyFont="1" applyFill="1" applyBorder="1" applyAlignment="1" applyProtection="1">
      <alignment horizontal="center" vertical="center"/>
      <protection hidden="1"/>
    </xf>
    <xf numFmtId="0" fontId="47" fillId="5" borderId="5" xfId="0" applyFont="1" applyFill="1" applyBorder="1" applyAlignment="1" applyProtection="1">
      <alignment horizontal="center" vertical="center"/>
      <protection hidden="1"/>
    </xf>
    <xf numFmtId="2" fontId="47" fillId="5" borderId="18" xfId="0" applyNumberFormat="1" applyFont="1" applyFill="1" applyBorder="1" applyAlignment="1" applyProtection="1">
      <alignment horizontal="center" vertical="center"/>
      <protection hidden="1"/>
    </xf>
    <xf numFmtId="0" fontId="47" fillId="5" borderId="153" xfId="0" applyFont="1" applyFill="1" applyBorder="1" applyAlignment="1" applyProtection="1">
      <alignment horizontal="center" vertical="center"/>
      <protection hidden="1"/>
    </xf>
    <xf numFmtId="0" fontId="47" fillId="5" borderId="9" xfId="0" applyFont="1" applyFill="1" applyBorder="1" applyAlignment="1" applyProtection="1">
      <alignment horizontal="center" vertical="center"/>
      <protection hidden="1"/>
    </xf>
    <xf numFmtId="0" fontId="47" fillId="5" borderId="92" xfId="0" applyFont="1" applyFill="1" applyBorder="1" applyAlignment="1" applyProtection="1">
      <alignment horizontal="center" vertical="center"/>
      <protection hidden="1"/>
    </xf>
    <xf numFmtId="2" fontId="47" fillId="5" borderId="99" xfId="0" applyNumberFormat="1" applyFont="1" applyFill="1" applyBorder="1" applyAlignment="1" applyProtection="1">
      <alignment horizontal="center" vertical="center"/>
      <protection hidden="1"/>
    </xf>
    <xf numFmtId="0" fontId="47" fillId="5" borderId="66" xfId="0" applyFont="1" applyFill="1" applyBorder="1" applyAlignment="1" applyProtection="1">
      <alignment horizontal="center" vertical="center"/>
      <protection hidden="1"/>
    </xf>
    <xf numFmtId="0" fontId="47" fillId="5" borderId="93" xfId="0" applyFont="1" applyFill="1" applyBorder="1" applyAlignment="1" applyProtection="1">
      <alignment horizontal="center" vertical="center"/>
      <protection hidden="1"/>
    </xf>
    <xf numFmtId="2" fontId="47" fillId="5" borderId="80" xfId="0" applyNumberFormat="1" applyFont="1" applyFill="1" applyBorder="1" applyAlignment="1" applyProtection="1">
      <alignment horizontal="center" vertical="center"/>
      <protection hidden="1"/>
    </xf>
    <xf numFmtId="0" fontId="47" fillId="5" borderId="80" xfId="0" applyFont="1" applyFill="1" applyBorder="1" applyAlignment="1" applyProtection="1">
      <alignment horizontal="center" vertical="center"/>
      <protection hidden="1"/>
    </xf>
    <xf numFmtId="2" fontId="48" fillId="5" borderId="133" xfId="0" applyNumberFormat="1" applyFont="1" applyFill="1" applyBorder="1" applyAlignment="1" applyProtection="1">
      <alignment horizontal="center" vertical="center"/>
      <protection hidden="1"/>
    </xf>
    <xf numFmtId="0" fontId="47" fillId="5" borderId="58" xfId="0" applyFont="1" applyFill="1" applyBorder="1" applyAlignment="1" applyProtection="1">
      <alignment horizontal="center" vertical="center"/>
      <protection hidden="1"/>
    </xf>
    <xf numFmtId="0" fontId="47" fillId="5" borderId="155" xfId="0" applyFont="1" applyFill="1" applyBorder="1" applyAlignment="1" applyProtection="1">
      <alignment horizontal="center" vertical="center"/>
      <protection hidden="1"/>
    </xf>
    <xf numFmtId="2" fontId="48" fillId="5" borderId="61" xfId="0" applyNumberFormat="1" applyFont="1" applyFill="1" applyBorder="1" applyAlignment="1" applyProtection="1">
      <alignment horizontal="center" vertical="center"/>
      <protection hidden="1"/>
    </xf>
    <xf numFmtId="4" fontId="47" fillId="5" borderId="92" xfId="0" applyNumberFormat="1" applyFont="1" applyFill="1" applyBorder="1" applyAlignment="1" applyProtection="1">
      <alignment horizontal="center" vertical="center"/>
    </xf>
    <xf numFmtId="4" fontId="47" fillId="5" borderId="99" xfId="0" applyNumberFormat="1" applyFont="1" applyFill="1" applyBorder="1" applyAlignment="1" applyProtection="1">
      <alignment horizontal="center" vertical="center"/>
    </xf>
    <xf numFmtId="4" fontId="47" fillId="5" borderId="5" xfId="0" applyNumberFormat="1" applyFont="1" applyFill="1" applyBorder="1" applyAlignment="1" applyProtection="1">
      <alignment horizontal="center" vertical="center"/>
    </xf>
    <xf numFmtId="4" fontId="47" fillId="5" borderId="114" xfId="0" applyNumberFormat="1" applyFont="1" applyFill="1" applyBorder="1" applyAlignment="1" applyProtection="1">
      <alignment horizontal="center" vertical="center"/>
    </xf>
    <xf numFmtId="4" fontId="47" fillId="5" borderId="100" xfId="0" applyNumberFormat="1" applyFont="1" applyFill="1" applyBorder="1" applyAlignment="1" applyProtection="1">
      <alignment horizontal="center" vertical="center"/>
    </xf>
    <xf numFmtId="0" fontId="47" fillId="5" borderId="116" xfId="0" applyFont="1" applyFill="1" applyBorder="1" applyAlignment="1" applyProtection="1">
      <alignment horizontal="center" vertical="center"/>
    </xf>
    <xf numFmtId="0" fontId="47" fillId="5" borderId="5" xfId="0" applyFont="1" applyFill="1" applyBorder="1" applyAlignment="1" applyProtection="1">
      <alignment horizontal="center" vertical="center"/>
    </xf>
    <xf numFmtId="0" fontId="47" fillId="5" borderId="114" xfId="0" applyFont="1" applyFill="1" applyBorder="1" applyAlignment="1" applyProtection="1">
      <alignment horizontal="center" vertical="center"/>
    </xf>
    <xf numFmtId="0" fontId="47" fillId="5" borderId="100" xfId="0" applyFont="1" applyFill="1" applyBorder="1" applyAlignment="1" applyProtection="1">
      <alignment horizontal="center" vertical="center"/>
    </xf>
    <xf numFmtId="0" fontId="47" fillId="5" borderId="92" xfId="0" applyFont="1" applyFill="1" applyBorder="1" applyAlignment="1" applyProtection="1">
      <alignment horizontal="center" vertical="center"/>
    </xf>
    <xf numFmtId="3" fontId="47" fillId="5" borderId="116" xfId="0" applyNumberFormat="1" applyFont="1" applyFill="1" applyBorder="1" applyAlignment="1" applyProtection="1">
      <alignment horizontal="center" vertical="center"/>
    </xf>
    <xf numFmtId="3" fontId="47" fillId="5" borderId="93" xfId="0" applyNumberFormat="1" applyFont="1" applyFill="1" applyBorder="1" applyAlignment="1" applyProtection="1">
      <alignment horizontal="center" vertical="center"/>
    </xf>
    <xf numFmtId="0" fontId="47" fillId="5" borderId="93" xfId="0" applyFont="1" applyFill="1" applyBorder="1" applyAlignment="1" applyProtection="1">
      <alignment horizontal="center" vertical="center"/>
    </xf>
    <xf numFmtId="4" fontId="47" fillId="5" borderId="148" xfId="0" applyNumberFormat="1" applyFont="1" applyFill="1" applyBorder="1" applyAlignment="1" applyProtection="1">
      <alignment horizontal="center" vertical="center"/>
    </xf>
    <xf numFmtId="0" fontId="47" fillId="5" borderId="156" xfId="0" applyFont="1" applyFill="1" applyBorder="1" applyAlignment="1" applyProtection="1">
      <alignment horizontal="center" vertical="center"/>
    </xf>
    <xf numFmtId="0" fontId="47" fillId="5" borderId="53" xfId="0" applyFont="1" applyFill="1" applyBorder="1" applyAlignment="1" applyProtection="1">
      <alignment horizontal="center" vertical="center"/>
    </xf>
    <xf numFmtId="0" fontId="47" fillId="5" borderId="61" xfId="0" applyFont="1" applyFill="1" applyBorder="1" applyAlignment="1" applyProtection="1">
      <alignment horizontal="center" vertical="center"/>
    </xf>
    <xf numFmtId="2" fontId="48" fillId="5" borderId="54" xfId="0" applyNumberFormat="1" applyFont="1" applyFill="1" applyBorder="1" applyAlignment="1" applyProtection="1">
      <alignment horizontal="center" vertical="center"/>
    </xf>
    <xf numFmtId="2" fontId="48" fillId="5" borderId="61" xfId="0" applyNumberFormat="1" applyFont="1" applyFill="1" applyBorder="1" applyAlignment="1" applyProtection="1">
      <alignment horizontal="center" vertical="center"/>
    </xf>
    <xf numFmtId="4" fontId="47" fillId="5" borderId="54" xfId="0" applyNumberFormat="1" applyFont="1" applyFill="1" applyBorder="1" applyAlignment="1" applyProtection="1">
      <alignment horizontal="center" vertical="center"/>
    </xf>
    <xf numFmtId="0" fontId="9" fillId="5" borderId="150" xfId="0" applyFont="1" applyFill="1" applyBorder="1" applyAlignment="1" applyProtection="1">
      <alignment horizontal="center" vertical="center" wrapText="1"/>
    </xf>
    <xf numFmtId="0" fontId="9" fillId="5" borderId="49" xfId="0" applyFont="1" applyFill="1" applyBorder="1" applyAlignment="1" applyProtection="1">
      <alignment horizontal="center" vertical="center" wrapText="1"/>
    </xf>
    <xf numFmtId="0" fontId="9" fillId="5" borderId="144" xfId="0" applyFont="1" applyFill="1" applyBorder="1" applyAlignment="1" applyProtection="1">
      <alignment horizontal="center" vertical="center" wrapText="1"/>
    </xf>
    <xf numFmtId="0" fontId="9" fillId="5" borderId="166" xfId="0" applyFont="1" applyFill="1" applyBorder="1" applyAlignment="1" applyProtection="1">
      <alignment horizontal="center" vertical="center" wrapText="1"/>
    </xf>
    <xf numFmtId="0" fontId="9" fillId="5" borderId="51" xfId="0" applyFont="1" applyFill="1" applyBorder="1" applyAlignment="1" applyProtection="1">
      <alignment horizontal="center" vertical="center" wrapText="1"/>
    </xf>
    <xf numFmtId="0" fontId="7" fillId="5" borderId="144" xfId="0" applyFont="1" applyFill="1" applyBorder="1" applyAlignment="1" applyProtection="1">
      <alignment horizontal="center" vertical="center"/>
    </xf>
    <xf numFmtId="3" fontId="47" fillId="5" borderId="121" xfId="0" applyNumberFormat="1" applyFont="1" applyFill="1" applyBorder="1" applyAlignment="1" applyProtection="1">
      <alignment horizontal="center" vertical="center"/>
    </xf>
    <xf numFmtId="4" fontId="48" fillId="5" borderId="4" xfId="0" applyNumberFormat="1" applyFont="1" applyFill="1" applyBorder="1" applyAlignment="1" applyProtection="1">
      <alignment horizontal="center" vertical="center"/>
    </xf>
    <xf numFmtId="0" fontId="32" fillId="5" borderId="1"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41" xfId="0" applyFont="1" applyFill="1" applyBorder="1" applyAlignment="1">
      <alignment horizontal="center" vertical="center"/>
    </xf>
    <xf numFmtId="0" fontId="29" fillId="5" borderId="0" xfId="0" applyFont="1" applyFill="1"/>
    <xf numFmtId="0" fontId="29" fillId="5" borderId="0" xfId="0" applyFont="1" applyFill="1" applyAlignment="1">
      <alignment horizontal="center" vertical="center"/>
    </xf>
    <xf numFmtId="0" fontId="29" fillId="5" borderId="1" xfId="0" applyFont="1" applyFill="1" applyBorder="1" applyAlignment="1">
      <alignment horizontal="center" vertical="center"/>
    </xf>
    <xf numFmtId="0" fontId="29" fillId="5" borderId="1" xfId="0" applyFont="1" applyFill="1" applyBorder="1" applyAlignment="1" applyProtection="1">
      <alignment horizontal="center" vertical="center" wrapText="1"/>
      <protection locked="0"/>
    </xf>
    <xf numFmtId="0" fontId="29" fillId="5" borderId="1" xfId="0" applyFont="1" applyFill="1" applyBorder="1" applyAlignment="1" applyProtection="1">
      <alignment horizontal="left" vertical="center" wrapText="1"/>
      <protection locked="0"/>
    </xf>
    <xf numFmtId="0" fontId="29" fillId="5" borderId="41" xfId="0" applyFont="1" applyFill="1" applyBorder="1" applyAlignment="1" applyProtection="1">
      <alignment horizontal="center" vertical="center" wrapText="1"/>
      <protection locked="0"/>
    </xf>
    <xf numFmtId="43" fontId="47" fillId="5" borderId="1" xfId="1" applyNumberFormat="1" applyFont="1" applyFill="1" applyBorder="1" applyAlignment="1" applyProtection="1">
      <alignment horizontal="right" vertical="center"/>
      <protection locked="0"/>
    </xf>
    <xf numFmtId="169" fontId="47" fillId="5" borderId="1" xfId="1" applyNumberFormat="1" applyFont="1" applyFill="1" applyBorder="1" applyAlignment="1" applyProtection="1">
      <alignment horizontal="right" vertical="center"/>
      <protection locked="0"/>
    </xf>
    <xf numFmtId="43" fontId="47" fillId="5" borderId="41" xfId="1" applyNumberFormat="1" applyFont="1" applyFill="1" applyBorder="1" applyAlignment="1" applyProtection="1">
      <alignment horizontal="right" vertical="center"/>
      <protection locked="0"/>
    </xf>
    <xf numFmtId="0" fontId="44" fillId="5" borderId="1" xfId="0" applyFont="1" applyFill="1" applyBorder="1" applyAlignment="1" applyProtection="1">
      <alignment horizontal="right" vertical="center" wrapText="1"/>
      <protection locked="0"/>
    </xf>
    <xf numFmtId="0" fontId="29" fillId="5" borderId="41" xfId="0" applyFont="1" applyFill="1" applyBorder="1" applyAlignment="1" applyProtection="1">
      <alignment horizontal="left" vertical="center" wrapText="1"/>
      <protection locked="0"/>
    </xf>
    <xf numFmtId="37" fontId="47" fillId="5" borderId="1" xfId="1" applyNumberFormat="1" applyFont="1" applyFill="1" applyBorder="1" applyAlignment="1" applyProtection="1">
      <alignment horizontal="right" vertical="center"/>
      <protection locked="0"/>
    </xf>
    <xf numFmtId="0" fontId="29" fillId="5" borderId="1" xfId="0" applyFont="1" applyFill="1" applyBorder="1"/>
    <xf numFmtId="0" fontId="7" fillId="5" borderId="1" xfId="0" applyFont="1" applyFill="1" applyBorder="1" applyAlignment="1" applyProtection="1">
      <alignment horizontal="right" vertical="center" wrapText="1"/>
      <protection hidden="1"/>
    </xf>
    <xf numFmtId="43" fontId="47" fillId="22" borderId="1" xfId="1" applyNumberFormat="1" applyFont="1" applyFill="1" applyBorder="1" applyAlignment="1" applyProtection="1">
      <alignment horizontal="center" vertical="center"/>
      <protection locked="0"/>
    </xf>
    <xf numFmtId="0" fontId="59" fillId="5" borderId="24" xfId="0" applyFont="1" applyFill="1" applyBorder="1" applyAlignment="1">
      <alignment horizontal="center" vertical="center" wrapText="1"/>
    </xf>
    <xf numFmtId="0" fontId="59" fillId="5" borderId="19" xfId="0" applyFont="1" applyFill="1" applyBorder="1" applyAlignment="1">
      <alignment horizontal="center" vertical="center" wrapText="1"/>
    </xf>
    <xf numFmtId="0" fontId="59" fillId="5" borderId="6" xfId="0" applyFont="1" applyFill="1" applyBorder="1" applyAlignment="1">
      <alignment horizontal="center" vertical="center" wrapText="1"/>
    </xf>
    <xf numFmtId="43" fontId="70" fillId="5" borderId="1" xfId="1" applyNumberFormat="1" applyFont="1" applyFill="1" applyBorder="1" applyAlignment="1" applyProtection="1">
      <alignment horizontal="left" vertical="center"/>
      <protection locked="0"/>
    </xf>
    <xf numFmtId="0" fontId="4" fillId="0" borderId="1" xfId="0" applyFont="1" applyBorder="1" applyAlignment="1">
      <alignment horizontal="left" vertical="center"/>
    </xf>
    <xf numFmtId="0" fontId="41" fillId="0" borderId="1" xfId="0" applyFont="1" applyBorder="1" applyAlignment="1">
      <alignment horizontal="right" vertical="center"/>
    </xf>
    <xf numFmtId="0" fontId="55" fillId="0" borderId="1" xfId="0" applyFont="1" applyFill="1" applyBorder="1" applyAlignment="1">
      <alignment horizontal="center" vertical="center"/>
    </xf>
    <xf numFmtId="0" fontId="55" fillId="0" borderId="38" xfId="0" applyFont="1" applyFill="1" applyBorder="1"/>
    <xf numFmtId="43" fontId="47" fillId="22" borderId="1" xfId="1" applyNumberFormat="1" applyFont="1" applyFill="1" applyBorder="1" applyAlignment="1" applyProtection="1">
      <alignment horizontal="right" vertical="center"/>
      <protection locked="0"/>
    </xf>
    <xf numFmtId="0" fontId="10" fillId="16" borderId="1" xfId="0" applyFont="1" applyFill="1" applyBorder="1" applyAlignment="1" applyProtection="1">
      <alignment horizontal="left" vertical="center"/>
      <protection locked="0"/>
    </xf>
    <xf numFmtId="169" fontId="51" fillId="15" borderId="1" xfId="1" applyNumberFormat="1" applyFont="1" applyFill="1" applyBorder="1" applyAlignment="1" applyProtection="1">
      <alignment horizontal="right" vertical="center"/>
      <protection locked="0"/>
    </xf>
    <xf numFmtId="0" fontId="29" fillId="23" borderId="1" xfId="0" applyFont="1" applyFill="1" applyBorder="1"/>
    <xf numFmtId="0" fontId="29" fillId="23" borderId="1" xfId="0" applyFont="1" applyFill="1" applyBorder="1" applyAlignment="1" applyProtection="1">
      <alignment horizontal="center" vertical="center" wrapText="1"/>
      <protection locked="0"/>
    </xf>
    <xf numFmtId="0" fontId="29" fillId="23" borderId="1" xfId="0" applyFont="1" applyFill="1" applyBorder="1" applyAlignment="1" applyProtection="1">
      <alignment horizontal="left" vertical="center" wrapText="1"/>
      <protection locked="0"/>
    </xf>
    <xf numFmtId="0" fontId="29" fillId="23" borderId="41" xfId="0" applyFont="1" applyFill="1" applyBorder="1" applyAlignment="1" applyProtection="1">
      <alignment horizontal="left" vertical="center" wrapText="1"/>
      <protection locked="0"/>
    </xf>
    <xf numFmtId="0" fontId="29" fillId="23" borderId="41" xfId="0" applyFont="1" applyFill="1" applyBorder="1" applyAlignment="1" applyProtection="1">
      <alignment horizontal="center" vertical="center" wrapText="1"/>
      <protection locked="0"/>
    </xf>
    <xf numFmtId="0" fontId="61" fillId="24" borderId="41" xfId="0" applyFont="1" applyFill="1" applyBorder="1" applyAlignment="1" applyProtection="1">
      <alignment horizontal="center" vertical="center" wrapText="1"/>
      <protection locked="0"/>
    </xf>
    <xf numFmtId="9" fontId="29" fillId="23" borderId="1" xfId="3" applyFont="1" applyFill="1" applyBorder="1" applyAlignment="1" applyProtection="1">
      <alignment horizontal="right" vertical="center"/>
    </xf>
    <xf numFmtId="0" fontId="71"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43" fillId="5" borderId="1" xfId="0" applyFont="1" applyFill="1" applyBorder="1" applyAlignment="1" applyProtection="1">
      <alignment horizontal="right" vertical="center" wrapText="1"/>
      <protection locked="0"/>
    </xf>
    <xf numFmtId="0" fontId="64" fillId="0" borderId="0" xfId="0" applyFont="1" applyFill="1" applyBorder="1" applyAlignment="1"/>
    <xf numFmtId="0" fontId="7" fillId="5" borderId="1" xfId="0" applyFont="1" applyFill="1" applyBorder="1" applyAlignment="1" applyProtection="1">
      <alignment horizontal="left" vertical="center" wrapText="1"/>
      <protection locked="0"/>
    </xf>
    <xf numFmtId="43" fontId="47" fillId="15" borderId="3" xfId="1" applyNumberFormat="1" applyFont="1" applyFill="1" applyBorder="1" applyAlignment="1" applyProtection="1">
      <alignment horizontal="right" vertical="center"/>
      <protection locked="0"/>
    </xf>
    <xf numFmtId="169" fontId="47" fillId="16" borderId="4" xfId="1" applyNumberFormat="1" applyFont="1" applyFill="1" applyBorder="1" applyAlignment="1" applyProtection="1">
      <alignment horizontal="right" vertical="center"/>
      <protection locked="0"/>
    </xf>
    <xf numFmtId="9" fontId="29" fillId="15" borderId="4" xfId="3" applyFont="1" applyFill="1" applyBorder="1" applyAlignment="1" applyProtection="1">
      <alignment horizontal="right" vertical="center"/>
    </xf>
    <xf numFmtId="0" fontId="29" fillId="16" borderId="4" xfId="0" applyFont="1" applyFill="1" applyBorder="1" applyAlignment="1" applyProtection="1">
      <alignment horizontal="left" vertical="center" wrapText="1"/>
      <protection locked="0"/>
    </xf>
    <xf numFmtId="169" fontId="47" fillId="15" borderId="3" xfId="1" applyNumberFormat="1" applyFont="1" applyFill="1" applyBorder="1" applyAlignment="1" applyProtection="1">
      <alignment horizontal="right" vertical="center"/>
      <protection locked="0"/>
    </xf>
    <xf numFmtId="0" fontId="0" fillId="16" borderId="1" xfId="0" applyFont="1" applyFill="1" applyBorder="1" applyAlignment="1" applyProtection="1">
      <alignment horizontal="left" vertical="center" wrapText="1"/>
      <protection locked="0"/>
    </xf>
    <xf numFmtId="0" fontId="0" fillId="16" borderId="41" xfId="0" applyFont="1" applyFill="1" applyBorder="1" applyAlignment="1" applyProtection="1">
      <alignment horizontal="left" vertical="center" wrapText="1"/>
      <protection locked="0"/>
    </xf>
    <xf numFmtId="0" fontId="0" fillId="16" borderId="41" xfId="0" applyFont="1" applyFill="1" applyBorder="1" applyAlignment="1" applyProtection="1">
      <alignment horizontal="center" vertical="center" wrapText="1"/>
      <protection locked="0"/>
    </xf>
    <xf numFmtId="9" fontId="0" fillId="15" borderId="1" xfId="3" applyFont="1" applyFill="1" applyBorder="1" applyAlignment="1" applyProtection="1">
      <alignment horizontal="right" vertical="center"/>
    </xf>
    <xf numFmtId="0" fontId="0" fillId="0" borderId="0" xfId="0" applyFont="1"/>
    <xf numFmtId="0" fontId="20" fillId="16" borderId="1" xfId="0" applyFont="1" applyFill="1" applyBorder="1" applyAlignment="1" applyProtection="1">
      <alignment horizontal="center" vertical="center" wrapText="1"/>
      <protection locked="0"/>
    </xf>
    <xf numFmtId="0" fontId="20" fillId="16" borderId="1" xfId="0" applyFont="1" applyFill="1" applyBorder="1" applyAlignment="1" applyProtection="1">
      <alignment horizontal="left" vertical="center" wrapText="1"/>
      <protection locked="0"/>
    </xf>
    <xf numFmtId="0" fontId="20" fillId="16" borderId="41" xfId="0" applyFont="1" applyFill="1" applyBorder="1" applyAlignment="1" applyProtection="1">
      <alignment horizontal="left" vertical="center" wrapText="1"/>
      <protection locked="0"/>
    </xf>
    <xf numFmtId="0" fontId="20" fillId="16" borderId="41" xfId="0" applyFont="1" applyFill="1" applyBorder="1" applyAlignment="1" applyProtection="1">
      <alignment horizontal="center" vertical="center" wrapText="1"/>
      <protection locked="0"/>
    </xf>
    <xf numFmtId="0" fontId="75" fillId="21" borderId="41" xfId="0" applyFont="1" applyFill="1" applyBorder="1" applyAlignment="1" applyProtection="1">
      <alignment horizontal="center" vertical="center" wrapText="1"/>
      <protection locked="0"/>
    </xf>
    <xf numFmtId="0" fontId="75" fillId="21" borderId="1" xfId="0" applyFont="1" applyFill="1" applyBorder="1" applyAlignment="1" applyProtection="1">
      <alignment horizontal="center" vertical="center" wrapText="1"/>
      <protection locked="0"/>
    </xf>
    <xf numFmtId="43" fontId="76" fillId="16" borderId="1" xfId="1" applyNumberFormat="1" applyFont="1" applyFill="1" applyBorder="1" applyAlignment="1" applyProtection="1">
      <alignment horizontal="right" vertical="center"/>
      <protection locked="0"/>
    </xf>
    <xf numFmtId="169" fontId="76" fillId="16" borderId="1" xfId="1" applyNumberFormat="1" applyFont="1" applyFill="1" applyBorder="1" applyAlignment="1" applyProtection="1">
      <alignment horizontal="right" vertical="center"/>
      <protection locked="0"/>
    </xf>
    <xf numFmtId="0" fontId="20" fillId="0" borderId="0" xfId="0" applyFont="1"/>
    <xf numFmtId="0" fontId="20" fillId="3"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left" vertical="center" wrapText="1"/>
      <protection locked="0"/>
    </xf>
    <xf numFmtId="0" fontId="20" fillId="3" borderId="41" xfId="0" applyFont="1" applyFill="1" applyBorder="1" applyAlignment="1" applyProtection="1">
      <alignment horizontal="left" vertical="center" wrapText="1"/>
      <protection locked="0"/>
    </xf>
    <xf numFmtId="0" fontId="20" fillId="3" borderId="41" xfId="0" applyFont="1" applyFill="1" applyBorder="1" applyAlignment="1" applyProtection="1">
      <alignment horizontal="center" vertical="center" wrapText="1"/>
      <protection locked="0"/>
    </xf>
    <xf numFmtId="0" fontId="75" fillId="14" borderId="41" xfId="0" applyFont="1" applyFill="1" applyBorder="1" applyAlignment="1" applyProtection="1">
      <alignment horizontal="center" vertical="center" wrapText="1"/>
      <protection locked="0"/>
    </xf>
    <xf numFmtId="0" fontId="75" fillId="14" borderId="1" xfId="0" applyFont="1" applyFill="1" applyBorder="1" applyAlignment="1" applyProtection="1">
      <alignment horizontal="center" vertical="center" wrapText="1"/>
      <protection locked="0"/>
    </xf>
    <xf numFmtId="43" fontId="76" fillId="3" borderId="1" xfId="1" applyNumberFormat="1" applyFont="1" applyFill="1" applyBorder="1" applyAlignment="1" applyProtection="1">
      <alignment horizontal="right" vertical="center"/>
      <protection locked="0"/>
    </xf>
    <xf numFmtId="169" fontId="76" fillId="3" borderId="1" xfId="1" applyNumberFormat="1" applyFont="1" applyFill="1" applyBorder="1" applyAlignment="1" applyProtection="1">
      <alignment horizontal="right" vertical="center"/>
      <protection locked="0"/>
    </xf>
    <xf numFmtId="0" fontId="10" fillId="5" borderId="1" xfId="0" applyFont="1" applyFill="1" applyBorder="1" applyAlignment="1">
      <alignment horizontal="center" vertical="center"/>
    </xf>
    <xf numFmtId="0" fontId="10"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wrapText="1"/>
      <protection locked="0"/>
    </xf>
    <xf numFmtId="0" fontId="10" fillId="3" borderId="41" xfId="0" applyFont="1" applyFill="1" applyBorder="1" applyAlignment="1" applyProtection="1">
      <alignment horizontal="left" vertical="center" wrapText="1"/>
      <protection locked="0"/>
    </xf>
    <xf numFmtId="0" fontId="10" fillId="3" borderId="41" xfId="0" applyFont="1" applyFill="1" applyBorder="1" applyAlignment="1" applyProtection="1">
      <alignment horizontal="center" vertical="center" wrapText="1"/>
      <protection locked="0"/>
    </xf>
    <xf numFmtId="0" fontId="77" fillId="14" borderId="41" xfId="0" applyFont="1" applyFill="1" applyBorder="1" applyAlignment="1" applyProtection="1">
      <alignment horizontal="center" vertical="center" wrapText="1"/>
      <protection locked="0"/>
    </xf>
    <xf numFmtId="0" fontId="77" fillId="14" borderId="1" xfId="0" applyFont="1" applyFill="1" applyBorder="1" applyAlignment="1" applyProtection="1">
      <alignment horizontal="center" vertical="center" wrapText="1"/>
      <protection locked="0"/>
    </xf>
    <xf numFmtId="43" fontId="34" fillId="3" borderId="1" xfId="1" applyNumberFormat="1" applyFont="1" applyFill="1" applyBorder="1" applyAlignment="1" applyProtection="1">
      <alignment horizontal="right" vertical="center"/>
      <protection locked="0"/>
    </xf>
    <xf numFmtId="169" fontId="34" fillId="3" borderId="1" xfId="1" applyNumberFormat="1" applyFont="1" applyFill="1" applyBorder="1" applyAlignment="1" applyProtection="1">
      <alignment horizontal="right" vertical="center"/>
      <protection locked="0"/>
    </xf>
    <xf numFmtId="43" fontId="34" fillId="3" borderId="41" xfId="1" applyNumberFormat="1" applyFont="1" applyFill="1" applyBorder="1" applyAlignment="1" applyProtection="1">
      <alignment horizontal="right" vertical="center"/>
      <protection locked="0"/>
    </xf>
    <xf numFmtId="0" fontId="10" fillId="16" borderId="1" xfId="0" applyFont="1" applyFill="1" applyBorder="1" applyAlignment="1" applyProtection="1">
      <alignment horizontal="left" vertical="center" wrapText="1"/>
      <protection locked="0"/>
    </xf>
    <xf numFmtId="169" fontId="34" fillId="15" borderId="2" xfId="1" applyNumberFormat="1" applyFont="1" applyFill="1" applyBorder="1" applyAlignment="1" applyProtection="1">
      <alignment horizontal="right" vertical="center"/>
      <protection locked="0"/>
    </xf>
    <xf numFmtId="0" fontId="10" fillId="0" borderId="0" xfId="0" applyFont="1"/>
    <xf numFmtId="0" fontId="20" fillId="5" borderId="1" xfId="0" applyFont="1" applyFill="1" applyBorder="1"/>
    <xf numFmtId="0" fontId="10" fillId="5" borderId="1" xfId="0" applyFont="1" applyFill="1" applyBorder="1"/>
    <xf numFmtId="0" fontId="0" fillId="5" borderId="1" xfId="0" applyFont="1" applyFill="1" applyBorder="1"/>
    <xf numFmtId="0" fontId="10" fillId="16" borderId="1" xfId="0" applyFont="1" applyFill="1" applyBorder="1" applyAlignment="1" applyProtection="1">
      <alignment horizontal="center" vertical="center" wrapText="1"/>
      <protection locked="0"/>
    </xf>
    <xf numFmtId="0" fontId="10" fillId="16" borderId="41" xfId="0" applyFont="1" applyFill="1" applyBorder="1" applyAlignment="1" applyProtection="1">
      <alignment horizontal="left" vertical="center" wrapText="1"/>
      <protection locked="0"/>
    </xf>
    <xf numFmtId="0" fontId="10" fillId="16" borderId="41" xfId="0" applyFont="1" applyFill="1" applyBorder="1" applyAlignment="1" applyProtection="1">
      <alignment horizontal="center" vertical="center" wrapText="1"/>
      <protection locked="0"/>
    </xf>
    <xf numFmtId="0" fontId="77" fillId="21" borderId="41" xfId="0" applyFont="1" applyFill="1" applyBorder="1" applyAlignment="1" applyProtection="1">
      <alignment horizontal="center" vertical="center" wrapText="1"/>
      <protection locked="0"/>
    </xf>
    <xf numFmtId="0" fontId="77" fillId="21" borderId="1" xfId="0" applyFont="1" applyFill="1" applyBorder="1" applyAlignment="1" applyProtection="1">
      <alignment horizontal="center" vertical="center" wrapText="1"/>
      <protection locked="0"/>
    </xf>
    <xf numFmtId="43" fontId="34" fillId="16" borderId="1" xfId="1" applyNumberFormat="1" applyFont="1" applyFill="1" applyBorder="1" applyAlignment="1" applyProtection="1">
      <alignment horizontal="right" vertical="center"/>
      <protection locked="0"/>
    </xf>
    <xf numFmtId="43" fontId="34" fillId="16" borderId="41" xfId="1" applyNumberFormat="1" applyFont="1" applyFill="1" applyBorder="1" applyAlignment="1" applyProtection="1">
      <alignment horizontal="right" vertical="center"/>
      <protection locked="0"/>
    </xf>
    <xf numFmtId="0" fontId="0" fillId="5" borderId="1" xfId="0" applyFont="1" applyFill="1" applyBorder="1" applyAlignment="1" applyProtection="1">
      <alignment horizontal="right" vertical="center" wrapText="1"/>
      <protection locked="0"/>
    </xf>
    <xf numFmtId="0" fontId="43" fillId="5" borderId="24" xfId="0" applyFont="1" applyFill="1" applyBorder="1" applyAlignment="1" applyProtection="1">
      <alignment horizontal="right" vertical="center" wrapText="1"/>
      <protection locked="0"/>
    </xf>
    <xf numFmtId="0" fontId="43" fillId="5" borderId="1" xfId="0" applyFont="1" applyFill="1" applyBorder="1" applyAlignment="1">
      <alignment horizontal="right"/>
    </xf>
    <xf numFmtId="0" fontId="43" fillId="16" borderId="1" xfId="0" applyFont="1" applyFill="1" applyBorder="1" applyAlignment="1" applyProtection="1">
      <alignment horizontal="right" vertical="center" wrapText="1"/>
      <protection locked="0"/>
    </xf>
    <xf numFmtId="0" fontId="43" fillId="16" borderId="41" xfId="0" applyFont="1" applyFill="1" applyBorder="1" applyAlignment="1" applyProtection="1">
      <alignment horizontal="right" vertical="center" wrapText="1"/>
      <protection locked="0"/>
    </xf>
    <xf numFmtId="0" fontId="74" fillId="19" borderId="41" xfId="0" applyFont="1" applyFill="1" applyBorder="1" applyAlignment="1" applyProtection="1">
      <alignment horizontal="center" vertical="center" wrapText="1"/>
      <protection locked="0"/>
    </xf>
    <xf numFmtId="0" fontId="74" fillId="19" borderId="1" xfId="0" applyFont="1" applyFill="1" applyBorder="1" applyAlignment="1" applyProtection="1">
      <alignment horizontal="center" vertical="center" wrapText="1"/>
      <protection locked="0"/>
    </xf>
    <xf numFmtId="37" fontId="7" fillId="5" borderId="1" xfId="1" applyNumberFormat="1" applyFont="1" applyFill="1" applyBorder="1" applyAlignment="1" applyProtection="1">
      <alignment horizontal="right" vertical="center"/>
      <protection locked="0"/>
    </xf>
    <xf numFmtId="169" fontId="73" fillId="15" borderId="1" xfId="1" applyNumberFormat="1" applyFont="1" applyFill="1" applyBorder="1" applyAlignment="1" applyProtection="1">
      <alignment horizontal="right" vertical="center"/>
      <protection locked="0"/>
    </xf>
    <xf numFmtId="9" fontId="43" fillId="15" borderId="1" xfId="3" applyFont="1" applyFill="1" applyBorder="1" applyAlignment="1" applyProtection="1">
      <alignment horizontal="right" vertical="center"/>
    </xf>
    <xf numFmtId="0" fontId="43" fillId="0" borderId="0" xfId="0" applyFont="1" applyAlignment="1">
      <alignment horizontal="right"/>
    </xf>
    <xf numFmtId="169" fontId="43" fillId="15" borderId="1" xfId="1" applyNumberFormat="1" applyFont="1" applyFill="1" applyBorder="1" applyAlignment="1" applyProtection="1">
      <alignment horizontal="right" vertical="center"/>
      <protection locked="0"/>
    </xf>
    <xf numFmtId="0" fontId="0" fillId="5" borderId="1" xfId="0" applyFont="1" applyFill="1" applyBorder="1" applyAlignment="1" applyProtection="1">
      <alignment horizontal="center" vertical="center" wrapText="1"/>
      <protection locked="0"/>
    </xf>
    <xf numFmtId="169" fontId="7" fillId="15" borderId="1" xfId="1" applyNumberFormat="1" applyFont="1" applyFill="1" applyBorder="1" applyAlignment="1" applyProtection="1">
      <alignment horizontal="right" vertical="center"/>
      <protection locked="0"/>
    </xf>
    <xf numFmtId="43" fontId="47" fillId="5" borderId="38" xfId="1" applyNumberFormat="1" applyFont="1" applyFill="1" applyBorder="1" applyAlignment="1" applyProtection="1">
      <alignment horizontal="right" vertical="center"/>
      <protection locked="0"/>
    </xf>
    <xf numFmtId="43" fontId="47" fillId="23" borderId="66" xfId="1" applyNumberFormat="1" applyFont="1" applyFill="1" applyBorder="1" applyAlignment="1" applyProtection="1">
      <alignment horizontal="right" vertical="center"/>
      <protection locked="0"/>
    </xf>
    <xf numFmtId="43" fontId="47" fillId="16" borderId="66" xfId="1" applyNumberFormat="1" applyFont="1" applyFill="1" applyBorder="1" applyAlignment="1" applyProtection="1">
      <alignment horizontal="right" vertical="center"/>
      <protection locked="0"/>
    </xf>
    <xf numFmtId="43" fontId="47" fillId="16" borderId="80" xfId="1" applyNumberFormat="1" applyFont="1" applyFill="1" applyBorder="1" applyAlignment="1" applyProtection="1">
      <alignment horizontal="right" vertical="center"/>
      <protection locked="0"/>
    </xf>
    <xf numFmtId="43" fontId="47" fillId="16" borderId="58" xfId="1" applyNumberFormat="1" applyFont="1" applyFill="1" applyBorder="1" applyAlignment="1" applyProtection="1">
      <alignment horizontal="right" vertical="center"/>
      <protection locked="0"/>
    </xf>
    <xf numFmtId="43" fontId="47" fillId="5" borderId="175" xfId="1" applyNumberFormat="1" applyFont="1" applyFill="1" applyBorder="1" applyAlignment="1" applyProtection="1">
      <alignment horizontal="right" vertical="center"/>
      <protection locked="0"/>
    </xf>
    <xf numFmtId="43" fontId="47" fillId="5" borderId="2" xfId="1" applyNumberFormat="1" applyFont="1" applyFill="1" applyBorder="1" applyAlignment="1" applyProtection="1">
      <alignment horizontal="right" vertical="center"/>
      <protection locked="0"/>
    </xf>
    <xf numFmtId="43" fontId="47" fillId="23" borderId="175" xfId="1" applyNumberFormat="1" applyFont="1" applyFill="1" applyBorder="1" applyAlignment="1" applyProtection="1">
      <alignment horizontal="right" vertical="center"/>
      <protection locked="0"/>
    </xf>
    <xf numFmtId="43" fontId="47" fillId="5" borderId="3" xfId="1" applyNumberFormat="1" applyFont="1" applyFill="1" applyBorder="1" applyAlignment="1" applyProtection="1">
      <alignment horizontal="right" vertical="center"/>
      <protection locked="0"/>
    </xf>
    <xf numFmtId="43" fontId="47" fillId="5" borderId="121" xfId="1" applyNumberFormat="1" applyFont="1" applyFill="1" applyBorder="1" applyAlignment="1" applyProtection="1">
      <alignment horizontal="right" vertical="center"/>
      <protection locked="0"/>
    </xf>
    <xf numFmtId="43" fontId="47" fillId="5" borderId="176" xfId="1" applyNumberFormat="1" applyFont="1" applyFill="1" applyBorder="1" applyAlignment="1" applyProtection="1">
      <alignment horizontal="right" vertical="center"/>
      <protection locked="0"/>
    </xf>
    <xf numFmtId="43" fontId="47" fillId="5" borderId="56" xfId="1" applyNumberFormat="1" applyFont="1" applyFill="1" applyBorder="1" applyAlignment="1" applyProtection="1">
      <alignment horizontal="right" vertical="center"/>
      <protection locked="0"/>
    </xf>
    <xf numFmtId="43" fontId="34" fillId="16" borderId="2" xfId="1" applyNumberFormat="1" applyFont="1" applyFill="1" applyBorder="1" applyAlignment="1" applyProtection="1">
      <alignment horizontal="right" vertical="center"/>
      <protection locked="0"/>
    </xf>
    <xf numFmtId="43" fontId="34" fillId="16" borderId="56" xfId="1" applyNumberFormat="1" applyFont="1" applyFill="1" applyBorder="1" applyAlignment="1" applyProtection="1">
      <alignment horizontal="right" vertical="center"/>
      <protection locked="0"/>
    </xf>
    <xf numFmtId="39" fontId="47" fillId="15" borderId="2" xfId="1" applyNumberFormat="1" applyFont="1" applyFill="1" applyBorder="1" applyAlignment="1" applyProtection="1">
      <alignment horizontal="right" vertical="center"/>
    </xf>
    <xf numFmtId="39" fontId="47" fillId="15" borderId="1" xfId="1" applyNumberFormat="1" applyFont="1" applyFill="1" applyBorder="1" applyAlignment="1" applyProtection="1">
      <alignment horizontal="right" vertical="center"/>
    </xf>
    <xf numFmtId="10" fontId="29" fillId="15" borderId="56" xfId="3" applyNumberFormat="1" applyFont="1" applyFill="1" applyBorder="1" applyAlignment="1" applyProtection="1">
      <alignment horizontal="right" vertical="center"/>
    </xf>
    <xf numFmtId="43" fontId="47" fillId="3" borderId="1" xfId="1" applyNumberFormat="1" applyFont="1" applyFill="1" applyBorder="1" applyAlignment="1" applyProtection="1">
      <alignment horizontal="right" vertical="center"/>
      <protection locked="0"/>
    </xf>
    <xf numFmtId="43" fontId="47" fillId="3" borderId="41" xfId="1" applyNumberFormat="1" applyFont="1" applyFill="1" applyBorder="1" applyAlignment="1" applyProtection="1">
      <alignment horizontal="right" vertical="center"/>
      <protection locked="0"/>
    </xf>
    <xf numFmtId="37" fontId="47" fillId="15" borderId="2" xfId="1" applyNumberFormat="1" applyFont="1" applyFill="1" applyBorder="1" applyAlignment="1" applyProtection="1">
      <alignment horizontal="right" vertical="center"/>
      <protection locked="0"/>
    </xf>
    <xf numFmtId="39" fontId="47" fillId="16" borderId="1" xfId="1" applyNumberFormat="1" applyFont="1" applyFill="1" applyBorder="1" applyAlignment="1" applyProtection="1">
      <alignment horizontal="right" vertical="center"/>
      <protection locked="0"/>
    </xf>
    <xf numFmtId="39" fontId="47" fillId="15" borderId="3" xfId="1" applyNumberFormat="1" applyFont="1" applyFill="1" applyBorder="1" applyAlignment="1" applyProtection="1">
      <alignment horizontal="right" vertical="center"/>
    </xf>
    <xf numFmtId="39" fontId="47" fillId="15" borderId="4" xfId="1" applyNumberFormat="1" applyFont="1" applyFill="1" applyBorder="1" applyAlignment="1" applyProtection="1">
      <alignment horizontal="right" vertical="center"/>
    </xf>
    <xf numFmtId="10" fontId="29" fillId="15" borderId="70" xfId="3" applyNumberFormat="1" applyFont="1" applyFill="1" applyBorder="1" applyAlignment="1" applyProtection="1">
      <alignment horizontal="right" vertical="center"/>
    </xf>
    <xf numFmtId="0" fontId="69" fillId="5" borderId="0" xfId="0" applyFont="1" applyFill="1" applyBorder="1" applyAlignment="1" applyProtection="1">
      <alignment vertical="center"/>
    </xf>
    <xf numFmtId="43" fontId="47" fillId="16" borderId="2" xfId="1" applyNumberFormat="1" applyFont="1" applyFill="1" applyBorder="1" applyAlignment="1" applyProtection="1">
      <alignment horizontal="right" vertical="center"/>
      <protection locked="0"/>
    </xf>
    <xf numFmtId="43" fontId="47" fillId="16" borderId="38" xfId="1" applyNumberFormat="1" applyFont="1" applyFill="1" applyBorder="1" applyAlignment="1" applyProtection="1">
      <alignment horizontal="right" vertical="center"/>
      <protection locked="0"/>
    </xf>
    <xf numFmtId="43" fontId="47" fillId="16" borderId="175" xfId="1" applyNumberFormat="1" applyFont="1" applyFill="1" applyBorder="1" applyAlignment="1" applyProtection="1">
      <alignment horizontal="right" vertical="center"/>
      <protection locked="0"/>
    </xf>
    <xf numFmtId="37" fontId="47" fillId="16" borderId="2" xfId="1" applyNumberFormat="1" applyFont="1" applyFill="1" applyBorder="1" applyAlignment="1" applyProtection="1">
      <alignment horizontal="right" vertical="center"/>
      <protection locked="0"/>
    </xf>
    <xf numFmtId="9" fontId="20" fillId="16" borderId="1" xfId="3" applyFont="1" applyFill="1" applyBorder="1" applyAlignment="1" applyProtection="1">
      <alignment horizontal="right" vertical="center"/>
    </xf>
    <xf numFmtId="37" fontId="47" fillId="3" borderId="2" xfId="1" applyNumberFormat="1" applyFont="1" applyFill="1" applyBorder="1" applyAlignment="1" applyProtection="1">
      <alignment horizontal="right" vertical="center"/>
      <protection locked="0"/>
    </xf>
    <xf numFmtId="39" fontId="47" fillId="3" borderId="1" xfId="1" applyNumberFormat="1" applyFont="1" applyFill="1" applyBorder="1" applyAlignment="1" applyProtection="1">
      <alignment horizontal="right" vertical="center"/>
      <protection locked="0"/>
    </xf>
    <xf numFmtId="9" fontId="20" fillId="3" borderId="1" xfId="3" applyFont="1" applyFill="1" applyBorder="1" applyAlignment="1" applyProtection="1">
      <alignment horizontal="right" vertical="center"/>
    </xf>
    <xf numFmtId="9" fontId="10" fillId="3" borderId="1" xfId="3" applyFont="1" applyFill="1" applyBorder="1" applyAlignment="1" applyProtection="1">
      <alignment horizontal="right" vertical="center"/>
    </xf>
    <xf numFmtId="39" fontId="47" fillId="5" borderId="1" xfId="1" applyNumberFormat="1" applyFont="1" applyFill="1" applyBorder="1" applyAlignment="1" applyProtection="1">
      <alignment horizontal="right" vertical="center"/>
      <protection locked="0"/>
    </xf>
    <xf numFmtId="9" fontId="47" fillId="5" borderId="1" xfId="1" applyNumberFormat="1" applyFont="1" applyFill="1" applyBorder="1" applyAlignment="1" applyProtection="1">
      <alignment horizontal="right" vertical="center"/>
      <protection locked="0"/>
    </xf>
    <xf numFmtId="0" fontId="29" fillId="3" borderId="1" xfId="0" applyFont="1" applyFill="1" applyBorder="1" applyAlignment="1" applyProtection="1">
      <alignment horizontal="center" vertical="center" wrapText="1"/>
      <protection locked="0"/>
    </xf>
    <xf numFmtId="0" fontId="44" fillId="5" borderId="1" xfId="0" applyFont="1" applyFill="1" applyBorder="1" applyAlignment="1">
      <alignment horizontal="center" vertical="center"/>
    </xf>
    <xf numFmtId="0" fontId="44" fillId="5" borderId="1" xfId="0" applyFont="1" applyFill="1" applyBorder="1" applyAlignment="1" applyProtection="1">
      <alignment horizontal="center" vertical="center" wrapText="1"/>
      <protection locked="0"/>
    </xf>
    <xf numFmtId="0" fontId="44" fillId="5" borderId="41" xfId="0" applyFont="1" applyFill="1" applyBorder="1" applyAlignment="1" applyProtection="1">
      <alignment horizontal="left" vertical="center" wrapText="1"/>
      <protection locked="0"/>
    </xf>
    <xf numFmtId="0" fontId="44" fillId="5" borderId="41" xfId="0" applyFont="1" applyFill="1" applyBorder="1" applyAlignment="1" applyProtection="1">
      <alignment horizontal="center" vertical="center" wrapText="1"/>
      <protection locked="0"/>
    </xf>
    <xf numFmtId="0" fontId="79" fillId="19" borderId="41" xfId="0" applyFont="1" applyFill="1" applyBorder="1" applyAlignment="1" applyProtection="1">
      <alignment horizontal="center" vertical="center" wrapText="1"/>
      <protection locked="0"/>
    </xf>
    <xf numFmtId="0" fontId="79" fillId="19" borderId="1" xfId="0" applyFont="1" applyFill="1" applyBorder="1" applyAlignment="1" applyProtection="1">
      <alignment horizontal="center" vertical="center" wrapText="1"/>
      <protection locked="0"/>
    </xf>
    <xf numFmtId="37" fontId="44" fillId="5" borderId="1" xfId="1" applyNumberFormat="1" applyFont="1" applyFill="1" applyBorder="1" applyAlignment="1" applyProtection="1">
      <alignment horizontal="right" vertical="center"/>
      <protection locked="0"/>
    </xf>
    <xf numFmtId="169" fontId="44" fillId="5" borderId="1" xfId="1" applyNumberFormat="1" applyFont="1" applyFill="1" applyBorder="1" applyAlignment="1" applyProtection="1">
      <alignment horizontal="right" vertical="center"/>
      <protection locked="0"/>
    </xf>
    <xf numFmtId="43" fontId="44" fillId="5" borderId="41" xfId="1" applyNumberFormat="1" applyFont="1" applyFill="1" applyBorder="1" applyAlignment="1" applyProtection="1">
      <alignment horizontal="right" vertical="center"/>
      <protection locked="0"/>
    </xf>
    <xf numFmtId="43" fontId="44" fillId="5" borderId="2" xfId="1" applyNumberFormat="1" applyFont="1" applyFill="1" applyBorder="1" applyAlignment="1" applyProtection="1">
      <alignment horizontal="right" vertical="center"/>
      <protection locked="0"/>
    </xf>
    <xf numFmtId="43" fontId="44" fillId="5" borderId="38" xfId="1" applyNumberFormat="1" applyFont="1" applyFill="1" applyBorder="1" applyAlignment="1" applyProtection="1">
      <alignment horizontal="right" vertical="center"/>
      <protection locked="0"/>
    </xf>
    <xf numFmtId="43" fontId="44" fillId="5" borderId="175" xfId="1" applyNumberFormat="1" applyFont="1" applyFill="1" applyBorder="1" applyAlignment="1" applyProtection="1">
      <alignment horizontal="right" vertical="center"/>
      <protection locked="0"/>
    </xf>
    <xf numFmtId="39" fontId="44" fillId="16" borderId="1" xfId="1" applyNumberFormat="1" applyFont="1" applyFill="1" applyBorder="1" applyAlignment="1" applyProtection="1">
      <alignment horizontal="right" vertical="center"/>
      <protection locked="0"/>
    </xf>
    <xf numFmtId="43" fontId="44" fillId="15" borderId="1" xfId="1" applyNumberFormat="1" applyFont="1" applyFill="1" applyBorder="1" applyAlignment="1" applyProtection="1">
      <alignment horizontal="right" vertical="center"/>
      <protection locked="0"/>
    </xf>
    <xf numFmtId="0" fontId="44" fillId="16" borderId="1" xfId="0" applyFont="1" applyFill="1" applyBorder="1" applyAlignment="1" applyProtection="1">
      <alignment horizontal="left" vertical="center" wrapText="1"/>
      <protection locked="0"/>
    </xf>
    <xf numFmtId="9" fontId="44" fillId="15" borderId="1" xfId="3" applyFont="1" applyFill="1" applyBorder="1" applyAlignment="1" applyProtection="1">
      <alignment horizontal="right" vertical="center"/>
    </xf>
    <xf numFmtId="0" fontId="44" fillId="0" borderId="0" xfId="0" applyFont="1"/>
    <xf numFmtId="39" fontId="44" fillId="15" borderId="2" xfId="1" applyNumberFormat="1" applyFont="1" applyFill="1" applyBorder="1" applyAlignment="1" applyProtection="1">
      <alignment horizontal="right" vertical="center"/>
    </xf>
    <xf numFmtId="39" fontId="44" fillId="15" borderId="1" xfId="1" applyNumberFormat="1" applyFont="1" applyFill="1" applyBorder="1" applyAlignment="1" applyProtection="1">
      <alignment horizontal="right" vertical="center"/>
    </xf>
    <xf numFmtId="10" fontId="44" fillId="15" borderId="56" xfId="3" applyNumberFormat="1" applyFont="1" applyFill="1" applyBorder="1" applyAlignment="1" applyProtection="1">
      <alignment horizontal="right" vertical="center"/>
    </xf>
    <xf numFmtId="39" fontId="47" fillId="15" borderId="2" xfId="1" applyNumberFormat="1" applyFont="1" applyFill="1" applyBorder="1" applyAlignment="1" applyProtection="1">
      <alignment horizontal="right" vertical="center"/>
      <protection locked="0"/>
    </xf>
    <xf numFmtId="39" fontId="44" fillId="15" borderId="2" xfId="1" applyNumberFormat="1" applyFont="1" applyFill="1" applyBorder="1" applyAlignment="1" applyProtection="1">
      <alignment horizontal="right" vertical="center"/>
      <protection locked="0"/>
    </xf>
    <xf numFmtId="39" fontId="44" fillId="5" borderId="1" xfId="1" applyNumberFormat="1" applyFont="1" applyFill="1" applyBorder="1" applyAlignment="1" applyProtection="1">
      <alignment horizontal="right" vertical="center"/>
      <protection locked="0"/>
    </xf>
    <xf numFmtId="39" fontId="47" fillId="16" borderId="1" xfId="1" applyNumberFormat="1" applyFont="1" applyFill="1" applyBorder="1" applyAlignment="1" applyProtection="1">
      <alignment horizontal="center" vertical="center"/>
      <protection locked="0"/>
    </xf>
    <xf numFmtId="10" fontId="47" fillId="15" borderId="1" xfId="1" applyNumberFormat="1" applyFont="1" applyFill="1" applyBorder="1" applyAlignment="1" applyProtection="1">
      <alignment horizontal="right" vertical="center"/>
      <protection locked="0"/>
    </xf>
    <xf numFmtId="0" fontId="7" fillId="5" borderId="6" xfId="0" applyFont="1" applyFill="1" applyBorder="1" applyAlignment="1" applyProtection="1">
      <alignment horizontal="left" vertical="center" wrapText="1"/>
      <protection locked="0"/>
    </xf>
    <xf numFmtId="0" fontId="29" fillId="22" borderId="1" xfId="0" applyFont="1" applyFill="1" applyBorder="1" applyAlignment="1" applyProtection="1">
      <alignment horizontal="center" vertical="center" wrapText="1"/>
      <protection locked="0"/>
    </xf>
    <xf numFmtId="9" fontId="47" fillId="15" borderId="1" xfId="1" applyNumberFormat="1" applyFont="1" applyFill="1" applyBorder="1" applyAlignment="1" applyProtection="1">
      <alignment horizontal="right" vertical="center"/>
      <protection locked="0"/>
    </xf>
    <xf numFmtId="43" fontId="47" fillId="3" borderId="2" xfId="1" applyNumberFormat="1" applyFont="1" applyFill="1" applyBorder="1" applyAlignment="1" applyProtection="1">
      <alignment horizontal="right" vertical="center"/>
      <protection locked="0"/>
    </xf>
    <xf numFmtId="43" fontId="47" fillId="3" borderId="56" xfId="1" applyNumberFormat="1" applyFont="1" applyFill="1" applyBorder="1" applyAlignment="1" applyProtection="1">
      <alignment horizontal="right" vertical="center"/>
      <protection locked="0"/>
    </xf>
    <xf numFmtId="43" fontId="47" fillId="3" borderId="38" xfId="1" applyNumberFormat="1" applyFont="1" applyFill="1" applyBorder="1" applyAlignment="1" applyProtection="1">
      <alignment horizontal="right" vertical="center"/>
      <protection locked="0"/>
    </xf>
    <xf numFmtId="43" fontId="47" fillId="3" borderId="175" xfId="1" applyNumberFormat="1" applyFont="1" applyFill="1" applyBorder="1" applyAlignment="1" applyProtection="1">
      <alignment horizontal="right" vertical="center"/>
      <protection locked="0"/>
    </xf>
    <xf numFmtId="39" fontId="47" fillId="15" borderId="38" xfId="1" applyNumberFormat="1" applyFont="1" applyFill="1" applyBorder="1" applyAlignment="1" applyProtection="1">
      <alignment horizontal="right" vertical="center"/>
      <protection locked="0"/>
    </xf>
    <xf numFmtId="0" fontId="29" fillId="0" borderId="1" xfId="0" applyFont="1" applyFill="1" applyBorder="1" applyAlignment="1" applyProtection="1">
      <alignment horizontal="left" vertical="center" wrapText="1"/>
      <protection locked="0"/>
    </xf>
    <xf numFmtId="0" fontId="51" fillId="0" borderId="1"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4" fontId="47" fillId="5" borderId="6" xfId="0" applyNumberFormat="1" applyFont="1" applyFill="1" applyBorder="1" applyAlignment="1" applyProtection="1">
      <alignment horizontal="right" vertical="center" indent="1"/>
    </xf>
    <xf numFmtId="4" fontId="47" fillId="5" borderId="1" xfId="0" applyNumberFormat="1" applyFont="1" applyFill="1" applyBorder="1" applyAlignment="1" applyProtection="1">
      <alignment horizontal="right" vertical="center" indent="1"/>
    </xf>
    <xf numFmtId="4" fontId="47" fillId="5" borderId="138" xfId="0" applyNumberFormat="1" applyFont="1" applyFill="1" applyBorder="1" applyAlignment="1" applyProtection="1">
      <alignment horizontal="center" vertical="center"/>
    </xf>
    <xf numFmtId="4" fontId="47" fillId="5" borderId="121" xfId="0" applyNumberFormat="1" applyFont="1" applyFill="1" applyBorder="1" applyAlignment="1" applyProtection="1">
      <alignment horizontal="center" vertical="center"/>
    </xf>
    <xf numFmtId="0" fontId="59" fillId="5" borderId="1" xfId="0" applyFont="1" applyFill="1" applyBorder="1" applyAlignment="1" applyProtection="1">
      <alignment horizontal="center" vertical="center" wrapText="1"/>
    </xf>
    <xf numFmtId="0" fontId="59" fillId="5" borderId="24" xfId="0" applyFont="1" applyFill="1" applyBorder="1" applyAlignment="1">
      <alignment horizontal="center" vertical="center" wrapText="1"/>
    </xf>
    <xf numFmtId="0" fontId="59" fillId="5" borderId="19" xfId="0" applyFont="1" applyFill="1" applyBorder="1" applyAlignment="1">
      <alignment horizontal="center" vertical="center" wrapText="1"/>
    </xf>
    <xf numFmtId="0" fontId="59" fillId="5" borderId="6" xfId="0" applyFont="1" applyFill="1" applyBorder="1" applyAlignment="1">
      <alignment horizontal="center" vertical="center" wrapText="1"/>
    </xf>
    <xf numFmtId="0" fontId="59" fillId="5" borderId="2" xfId="0" applyFont="1" applyFill="1" applyBorder="1" applyAlignment="1" applyProtection="1">
      <alignment horizontal="center" vertical="center" wrapText="1"/>
    </xf>
    <xf numFmtId="0" fontId="59" fillId="5" borderId="56" xfId="0" applyFont="1" applyFill="1" applyBorder="1" applyAlignment="1" applyProtection="1">
      <alignment horizontal="center" vertical="center" wrapText="1"/>
    </xf>
    <xf numFmtId="0" fontId="32" fillId="5" borderId="1" xfId="0" applyFont="1" applyFill="1" applyBorder="1" applyAlignment="1">
      <alignment horizontal="center" vertical="center"/>
    </xf>
    <xf numFmtId="2" fontId="47" fillId="5" borderId="92" xfId="0" applyNumberFormat="1" applyFont="1" applyFill="1" applyBorder="1" applyAlignment="1" applyProtection="1">
      <alignment horizontal="center" vertical="center"/>
      <protection hidden="1"/>
    </xf>
    <xf numFmtId="0" fontId="30" fillId="5" borderId="1" xfId="0" applyFont="1" applyFill="1" applyBorder="1" applyAlignment="1">
      <alignment horizontal="center" vertical="center" wrapText="1"/>
    </xf>
    <xf numFmtId="10" fontId="44" fillId="15" borderId="1" xfId="1" applyNumberFormat="1" applyFont="1" applyFill="1" applyBorder="1" applyAlignment="1" applyProtection="1">
      <alignment horizontal="right" vertical="center"/>
      <protection locked="0"/>
    </xf>
    <xf numFmtId="2" fontId="48" fillId="3" borderId="1" xfId="1" applyNumberFormat="1" applyFont="1" applyFill="1" applyBorder="1" applyAlignment="1" applyProtection="1">
      <alignment horizontal="right" vertical="center"/>
      <protection locked="0"/>
    </xf>
    <xf numFmtId="10" fontId="47" fillId="16" borderId="1" xfId="3" applyNumberFormat="1" applyFont="1" applyFill="1" applyBorder="1" applyAlignment="1" applyProtection="1">
      <alignment horizontal="right" vertical="center"/>
      <protection locked="0"/>
    </xf>
    <xf numFmtId="2" fontId="48" fillId="3" borderId="1" xfId="3" applyNumberFormat="1" applyFont="1" applyFill="1" applyBorder="1" applyAlignment="1" applyProtection="1">
      <alignment horizontal="right" vertical="center"/>
      <protection locked="0"/>
    </xf>
    <xf numFmtId="39" fontId="47" fillId="3" borderId="2" xfId="1" applyNumberFormat="1" applyFont="1" applyFill="1" applyBorder="1" applyAlignment="1" applyProtection="1">
      <alignment horizontal="right" vertical="center"/>
    </xf>
    <xf numFmtId="10" fontId="47" fillId="15" borderId="56" xfId="3" applyNumberFormat="1" applyFont="1" applyFill="1" applyBorder="1" applyAlignment="1" applyProtection="1">
      <alignment horizontal="right" vertical="center"/>
    </xf>
    <xf numFmtId="2" fontId="48" fillId="3" borderId="56" xfId="3" applyNumberFormat="1" applyFont="1" applyFill="1" applyBorder="1" applyAlignment="1" applyProtection="1">
      <alignment horizontal="right" vertical="center"/>
    </xf>
    <xf numFmtId="0" fontId="0" fillId="5" borderId="0" xfId="0" applyFill="1" applyAlignment="1" applyProtection="1">
      <alignment vertical="center"/>
      <protection hidden="1"/>
    </xf>
    <xf numFmtId="0" fontId="29" fillId="5" borderId="0" xfId="0" applyFont="1" applyFill="1" applyAlignment="1" applyProtection="1">
      <alignment horizontal="center" vertical="center"/>
    </xf>
    <xf numFmtId="0" fontId="0" fillId="0" borderId="0" xfId="0" applyAlignment="1" applyProtection="1">
      <alignment vertical="center"/>
      <protection hidden="1"/>
    </xf>
    <xf numFmtId="2" fontId="47" fillId="5" borderId="134" xfId="0" applyNumberFormat="1" applyFont="1" applyFill="1" applyBorder="1" applyAlignment="1" applyProtection="1">
      <alignment horizontal="center" vertical="center"/>
    </xf>
    <xf numFmtId="2" fontId="47" fillId="5" borderId="26" xfId="0" applyNumberFormat="1" applyFont="1" applyFill="1" applyBorder="1" applyAlignment="1" applyProtection="1">
      <alignment horizontal="center" vertical="center"/>
    </xf>
    <xf numFmtId="2" fontId="47" fillId="5" borderId="99" xfId="0" applyNumberFormat="1" applyFont="1" applyFill="1" applyBorder="1" applyAlignment="1" applyProtection="1">
      <alignment horizontal="center" vertical="center"/>
    </xf>
    <xf numFmtId="0" fontId="59" fillId="5" borderId="24" xfId="0" applyFont="1" applyFill="1" applyBorder="1" applyAlignment="1">
      <alignment horizontal="center" vertical="center" wrapText="1"/>
    </xf>
    <xf numFmtId="0" fontId="59" fillId="5" borderId="19" xfId="0" applyFont="1" applyFill="1" applyBorder="1" applyAlignment="1">
      <alignment horizontal="center" vertical="center" wrapText="1"/>
    </xf>
    <xf numFmtId="0" fontId="59" fillId="5" borderId="6" xfId="0" applyFont="1" applyFill="1" applyBorder="1" applyAlignment="1">
      <alignment horizontal="center" vertical="center" wrapText="1"/>
    </xf>
    <xf numFmtId="0" fontId="59" fillId="5" borderId="1" xfId="0" applyFont="1" applyFill="1" applyBorder="1" applyAlignment="1" applyProtection="1">
      <alignment horizontal="center" vertical="center" wrapText="1"/>
    </xf>
    <xf numFmtId="0" fontId="59" fillId="5" borderId="2" xfId="0" applyFont="1" applyFill="1" applyBorder="1" applyAlignment="1" applyProtection="1">
      <alignment horizontal="center" vertical="center" wrapText="1"/>
    </xf>
    <xf numFmtId="43" fontId="47" fillId="23" borderId="56" xfId="1" applyNumberFormat="1" applyFont="1" applyFill="1" applyBorder="1" applyAlignment="1" applyProtection="1">
      <alignment horizontal="right" vertical="center"/>
      <protection locked="0"/>
    </xf>
    <xf numFmtId="39" fontId="34" fillId="3" borderId="41" xfId="1" applyNumberFormat="1" applyFont="1" applyFill="1" applyBorder="1" applyAlignment="1" applyProtection="1">
      <alignment horizontal="right" vertical="center"/>
      <protection locked="0"/>
    </xf>
    <xf numFmtId="0" fontId="32" fillId="5" borderId="1" xfId="0" applyFont="1" applyFill="1" applyBorder="1" applyAlignment="1">
      <alignment horizontal="center" vertical="center"/>
    </xf>
    <xf numFmtId="43" fontId="34" fillId="16" borderId="1" xfId="1" applyNumberFormat="1" applyFont="1" applyFill="1" applyBorder="1" applyAlignment="1" applyProtection="1">
      <alignment horizontal="center" vertical="center"/>
      <protection locked="0"/>
    </xf>
    <xf numFmtId="9" fontId="47" fillId="5" borderId="1" xfId="1" applyNumberFormat="1" applyFont="1" applyFill="1" applyBorder="1" applyAlignment="1" applyProtection="1">
      <alignment horizontal="center" vertical="center"/>
      <protection locked="0"/>
    </xf>
    <xf numFmtId="43" fontId="47" fillId="5" borderId="1" xfId="1" applyNumberFormat="1" applyFont="1" applyFill="1" applyBorder="1" applyAlignment="1" applyProtection="1">
      <alignment horizontal="center" vertical="center"/>
      <protection locked="0"/>
    </xf>
    <xf numFmtId="169" fontId="47" fillId="5" borderId="1" xfId="1" applyNumberFormat="1" applyFont="1" applyFill="1" applyBorder="1" applyAlignment="1" applyProtection="1">
      <alignment horizontal="center" vertical="center"/>
      <protection locked="0"/>
    </xf>
    <xf numFmtId="169" fontId="34" fillId="3" borderId="1" xfId="1" applyNumberFormat="1" applyFont="1" applyFill="1" applyBorder="1" applyAlignment="1" applyProtection="1">
      <alignment horizontal="center" vertical="center"/>
      <protection locked="0"/>
    </xf>
    <xf numFmtId="169" fontId="44" fillId="5" borderId="1" xfId="1" applyNumberFormat="1" applyFont="1" applyFill="1" applyBorder="1" applyAlignment="1" applyProtection="1">
      <alignment horizontal="center" vertical="center"/>
      <protection locked="0"/>
    </xf>
    <xf numFmtId="43" fontId="47" fillId="23" borderId="175" xfId="1" applyNumberFormat="1" applyFont="1" applyFill="1" applyBorder="1" applyAlignment="1" applyProtection="1">
      <alignment horizontal="center" vertical="center"/>
      <protection locked="0"/>
    </xf>
    <xf numFmtId="169" fontId="76" fillId="16" borderId="1" xfId="1" applyNumberFormat="1" applyFont="1" applyFill="1" applyBorder="1" applyAlignment="1" applyProtection="1">
      <alignment horizontal="center" vertical="center"/>
      <protection locked="0"/>
    </xf>
    <xf numFmtId="169" fontId="47" fillId="15" borderId="1" xfId="1" applyNumberFormat="1" applyFont="1" applyFill="1" applyBorder="1" applyAlignment="1" applyProtection="1">
      <alignment horizontal="center" vertical="center"/>
      <protection locked="0"/>
    </xf>
    <xf numFmtId="169" fontId="51" fillId="15" borderId="1" xfId="1" applyNumberFormat="1" applyFont="1" applyFill="1" applyBorder="1" applyAlignment="1" applyProtection="1">
      <alignment horizontal="center" vertical="center"/>
      <protection locked="0"/>
    </xf>
    <xf numFmtId="169" fontId="76" fillId="3" borderId="1" xfId="1" applyNumberFormat="1" applyFont="1" applyFill="1" applyBorder="1" applyAlignment="1" applyProtection="1">
      <alignment horizontal="center" vertical="center"/>
      <protection locked="0"/>
    </xf>
    <xf numFmtId="169" fontId="73" fillId="15" borderId="1" xfId="1" applyNumberFormat="1" applyFont="1" applyFill="1" applyBorder="1" applyAlignment="1" applyProtection="1">
      <alignment horizontal="center" vertical="center"/>
      <protection locked="0"/>
    </xf>
    <xf numFmtId="169" fontId="43" fillId="15" borderId="1" xfId="1" applyNumberFormat="1" applyFont="1" applyFill="1" applyBorder="1" applyAlignment="1" applyProtection="1">
      <alignment horizontal="center" vertical="center"/>
      <protection locked="0"/>
    </xf>
    <xf numFmtId="169" fontId="7" fillId="15" borderId="1" xfId="1" applyNumberFormat="1" applyFont="1" applyFill="1" applyBorder="1" applyAlignment="1" applyProtection="1">
      <alignment horizontal="center" vertical="center"/>
      <protection locked="0"/>
    </xf>
    <xf numFmtId="169" fontId="47" fillId="15" borderId="0" xfId="1" applyNumberFormat="1" applyFont="1" applyFill="1" applyBorder="1" applyAlignment="1" applyProtection="1">
      <alignment horizontal="center" vertical="center"/>
      <protection locked="0"/>
    </xf>
    <xf numFmtId="0" fontId="64" fillId="0" borderId="0" xfId="0" applyFont="1" applyFill="1" applyBorder="1" applyAlignment="1">
      <alignment horizontal="center" vertical="center"/>
    </xf>
    <xf numFmtId="0" fontId="29" fillId="5" borderId="0" xfId="0" applyFont="1" applyFill="1" applyAlignment="1">
      <alignment horizontal="center"/>
    </xf>
    <xf numFmtId="37" fontId="47" fillId="5" borderId="1" xfId="1" applyNumberFormat="1" applyFont="1" applyFill="1" applyBorder="1" applyAlignment="1" applyProtection="1">
      <alignment horizontal="center" vertical="center"/>
      <protection locked="0"/>
    </xf>
    <xf numFmtId="43" fontId="34" fillId="3" borderId="1" xfId="1" applyNumberFormat="1" applyFont="1" applyFill="1" applyBorder="1" applyAlignment="1" applyProtection="1">
      <alignment horizontal="center" vertical="center"/>
      <protection locked="0"/>
    </xf>
    <xf numFmtId="37" fontId="44" fillId="5" borderId="1" xfId="1" applyNumberFormat="1" applyFont="1" applyFill="1" applyBorder="1" applyAlignment="1" applyProtection="1">
      <alignment horizontal="center" vertical="center"/>
      <protection locked="0"/>
    </xf>
    <xf numFmtId="43" fontId="76" fillId="16" borderId="1" xfId="1" applyNumberFormat="1" applyFont="1" applyFill="1" applyBorder="1" applyAlignment="1" applyProtection="1">
      <alignment horizontal="center" vertical="center"/>
      <protection locked="0"/>
    </xf>
    <xf numFmtId="43" fontId="47" fillId="15" borderId="1" xfId="1" applyNumberFormat="1" applyFont="1" applyFill="1" applyBorder="1" applyAlignment="1" applyProtection="1">
      <alignment horizontal="center" vertical="center"/>
      <protection locked="0"/>
    </xf>
    <xf numFmtId="43" fontId="76" fillId="3" borderId="1" xfId="1" applyNumberFormat="1" applyFont="1" applyFill="1" applyBorder="1" applyAlignment="1" applyProtection="1">
      <alignment horizontal="center" vertical="center"/>
      <protection locked="0"/>
    </xf>
    <xf numFmtId="37" fontId="7" fillId="5" borderId="1" xfId="1" applyNumberFormat="1" applyFont="1" applyFill="1" applyBorder="1" applyAlignment="1" applyProtection="1">
      <alignment horizontal="center" vertical="center"/>
      <protection locked="0"/>
    </xf>
    <xf numFmtId="43" fontId="47" fillId="15" borderId="0" xfId="1" applyNumberFormat="1" applyFont="1" applyFill="1" applyBorder="1" applyAlignment="1" applyProtection="1">
      <alignment horizontal="center" vertical="center"/>
      <protection locked="0"/>
    </xf>
    <xf numFmtId="0" fontId="29" fillId="0" borderId="0" xfId="0" applyFont="1" applyAlignment="1">
      <alignment horizontal="center"/>
    </xf>
    <xf numFmtId="0" fontId="80" fillId="5" borderId="1" xfId="0" applyFont="1" applyFill="1" applyBorder="1" applyAlignment="1" applyProtection="1">
      <alignment horizontal="right" vertical="center" wrapText="1"/>
      <protection locked="0"/>
    </xf>
    <xf numFmtId="0" fontId="2" fillId="5" borderId="49" xfId="0" applyFont="1" applyFill="1" applyBorder="1" applyAlignment="1" applyProtection="1">
      <alignment horizontal="center" vertical="center" wrapText="1"/>
      <protection hidden="1"/>
    </xf>
    <xf numFmtId="2" fontId="48" fillId="5" borderId="174" xfId="0" applyNumberFormat="1" applyFont="1" applyFill="1" applyBorder="1" applyAlignment="1" applyProtection="1">
      <alignment horizontal="center" vertical="center"/>
    </xf>
    <xf numFmtId="2" fontId="46" fillId="5" borderId="0" xfId="0" applyNumberFormat="1" applyFont="1" applyFill="1" applyAlignment="1" applyProtection="1">
      <alignment horizontal="center"/>
    </xf>
    <xf numFmtId="0" fontId="3" fillId="0" borderId="1" xfId="0" applyFont="1" applyBorder="1" applyProtection="1">
      <protection hidden="1"/>
    </xf>
    <xf numFmtId="2" fontId="3" fillId="0" borderId="1" xfId="0" applyNumberFormat="1" applyFont="1" applyBorder="1" applyAlignment="1" applyProtection="1">
      <alignment vertical="center"/>
      <protection hidden="1"/>
    </xf>
    <xf numFmtId="10" fontId="3" fillId="0" borderId="1" xfId="3" applyNumberFormat="1" applyFont="1" applyBorder="1" applyAlignment="1" applyProtection="1">
      <alignment vertical="center"/>
      <protection hidden="1"/>
    </xf>
    <xf numFmtId="0" fontId="28" fillId="0" borderId="0" xfId="0" applyFont="1" applyAlignment="1" applyProtection="1">
      <protection hidden="1"/>
    </xf>
    <xf numFmtId="0" fontId="59" fillId="5" borderId="1" xfId="0" applyFont="1" applyFill="1" applyBorder="1" applyAlignment="1" applyProtection="1">
      <alignment horizontal="center" vertical="center" wrapText="1"/>
    </xf>
    <xf numFmtId="0" fontId="59" fillId="5" borderId="2" xfId="0" applyFont="1" applyFill="1" applyBorder="1" applyAlignment="1" applyProtection="1">
      <alignment horizontal="center" vertical="center" wrapText="1"/>
    </xf>
    <xf numFmtId="2" fontId="47" fillId="15" borderId="1" xfId="1" applyNumberFormat="1" applyFont="1" applyFill="1" applyBorder="1" applyAlignment="1" applyProtection="1">
      <alignment horizontal="right" vertical="center"/>
      <protection locked="0"/>
    </xf>
    <xf numFmtId="2" fontId="47" fillId="16" borderId="1" xfId="1" applyNumberFormat="1" applyFont="1" applyFill="1" applyBorder="1" applyAlignment="1" applyProtection="1">
      <alignment horizontal="right" vertical="center"/>
      <protection locked="0"/>
    </xf>
    <xf numFmtId="39" fontId="47" fillId="15" borderId="25" xfId="1" applyNumberFormat="1" applyFont="1" applyFill="1" applyBorder="1" applyAlignment="1" applyProtection="1">
      <alignment horizontal="right" vertical="center"/>
    </xf>
    <xf numFmtId="39" fontId="47" fillId="15" borderId="6" xfId="1" applyNumberFormat="1" applyFont="1" applyFill="1" applyBorder="1" applyAlignment="1" applyProtection="1">
      <alignment horizontal="right" vertical="center"/>
    </xf>
    <xf numFmtId="10" fontId="29" fillId="15" borderId="125" xfId="3" applyNumberFormat="1" applyFont="1" applyFill="1" applyBorder="1" applyAlignment="1" applyProtection="1">
      <alignment horizontal="right" vertical="center"/>
    </xf>
    <xf numFmtId="2" fontId="47" fillId="15" borderId="56" xfId="1" applyNumberFormat="1" applyFont="1" applyFill="1" applyBorder="1" applyAlignment="1" applyProtection="1">
      <alignment horizontal="right" vertical="center"/>
      <protection locked="0"/>
    </xf>
    <xf numFmtId="2" fontId="47" fillId="15" borderId="4" xfId="1" applyNumberFormat="1" applyFont="1" applyFill="1" applyBorder="1" applyAlignment="1" applyProtection="1">
      <alignment horizontal="right" vertical="center"/>
      <protection locked="0"/>
    </xf>
    <xf numFmtId="2" fontId="47" fillId="15" borderId="70" xfId="1" applyNumberFormat="1" applyFont="1" applyFill="1" applyBorder="1" applyAlignment="1" applyProtection="1">
      <alignment horizontal="right" vertical="center"/>
      <protection locked="0"/>
    </xf>
    <xf numFmtId="0" fontId="0" fillId="0" borderId="0" xfId="0" applyAlignment="1">
      <alignment horizontal="center" vertical="center"/>
    </xf>
    <xf numFmtId="0" fontId="0" fillId="0" borderId="0" xfId="0" applyAlignment="1">
      <alignment horizontal="center" vertical="center" wrapText="1"/>
    </xf>
    <xf numFmtId="17" fontId="0" fillId="0" borderId="0" xfId="0" applyNumberFormat="1" applyAlignment="1">
      <alignment horizontal="center" vertical="center"/>
    </xf>
    <xf numFmtId="43" fontId="0" fillId="0" borderId="0" xfId="1" applyFont="1"/>
    <xf numFmtId="169" fontId="86" fillId="0" borderId="1" xfId="0" applyNumberFormat="1" applyFont="1" applyBorder="1" applyAlignment="1">
      <alignment horizontal="center"/>
    </xf>
    <xf numFmtId="169" fontId="87" fillId="3" borderId="1" xfId="0" applyNumberFormat="1" applyFont="1" applyFill="1" applyBorder="1" applyAlignment="1">
      <alignment horizontal="center"/>
    </xf>
    <xf numFmtId="169" fontId="86" fillId="3" borderId="1" xfId="0" applyNumberFormat="1" applyFont="1" applyFill="1" applyBorder="1" applyAlignment="1">
      <alignment horizontal="center"/>
    </xf>
    <xf numFmtId="43" fontId="0" fillId="0" borderId="0" xfId="1" applyFont="1" applyAlignment="1">
      <alignment horizontal="center" vertical="center"/>
    </xf>
    <xf numFmtId="169" fontId="87" fillId="25" borderId="1" xfId="0" applyNumberFormat="1" applyFont="1" applyFill="1" applyBorder="1" applyAlignment="1">
      <alignment horizontal="center"/>
    </xf>
    <xf numFmtId="169" fontId="86" fillId="25" borderId="1" xfId="0" applyNumberFormat="1" applyFont="1" applyFill="1" applyBorder="1" applyAlignment="1">
      <alignment horizontal="center"/>
    </xf>
    <xf numFmtId="169" fontId="87" fillId="0" borderId="1" xfId="0" applyNumberFormat="1" applyFont="1" applyFill="1" applyBorder="1" applyAlignment="1">
      <alignment horizontal="center"/>
    </xf>
    <xf numFmtId="169" fontId="86" fillId="0" borderId="1" xfId="0" applyNumberFormat="1" applyFont="1" applyFill="1" applyBorder="1" applyAlignment="1">
      <alignment horizontal="center"/>
    </xf>
    <xf numFmtId="2" fontId="0" fillId="0" borderId="0" xfId="0" applyNumberFormat="1" applyProtection="1">
      <protection hidden="1"/>
    </xf>
    <xf numFmtId="2" fontId="7" fillId="0" borderId="0" xfId="0" applyNumberFormat="1" applyFont="1" applyProtection="1">
      <protection hidden="1"/>
    </xf>
    <xf numFmtId="9" fontId="3" fillId="0" borderId="0" xfId="3" applyFont="1" applyBorder="1" applyProtection="1">
      <protection hidden="1"/>
    </xf>
    <xf numFmtId="175" fontId="0" fillId="0" borderId="0" xfId="1" applyNumberFormat="1" applyFont="1"/>
    <xf numFmtId="0" fontId="3" fillId="0" borderId="0" xfId="0" applyFont="1" applyBorder="1" applyAlignment="1" applyProtection="1">
      <alignment vertical="center"/>
      <protection hidden="1"/>
    </xf>
    <xf numFmtId="0" fontId="28" fillId="15" borderId="185" xfId="0" applyFont="1" applyFill="1" applyBorder="1" applyAlignment="1" applyProtection="1">
      <alignment horizontal="center" vertical="center"/>
      <protection hidden="1"/>
    </xf>
    <xf numFmtId="0" fontId="28" fillId="15" borderId="24" xfId="0" applyFont="1" applyFill="1" applyBorder="1" applyAlignment="1" applyProtection="1">
      <alignment horizontal="left" vertical="center"/>
      <protection hidden="1"/>
    </xf>
    <xf numFmtId="10" fontId="3" fillId="15" borderId="24" xfId="0" applyNumberFormat="1" applyFont="1" applyFill="1" applyBorder="1" applyAlignment="1" applyProtection="1">
      <alignment horizontal="center" vertical="center"/>
      <protection hidden="1"/>
    </xf>
    <xf numFmtId="0" fontId="28" fillId="15" borderId="168" xfId="0" applyFont="1" applyFill="1" applyBorder="1" applyAlignment="1" applyProtection="1">
      <alignment horizontal="center" vertical="center"/>
      <protection hidden="1"/>
    </xf>
    <xf numFmtId="0" fontId="28" fillId="15" borderId="18" xfId="0" applyFont="1" applyFill="1" applyBorder="1" applyAlignment="1" applyProtection="1">
      <alignment horizontal="left" vertical="center"/>
      <protection hidden="1"/>
    </xf>
    <xf numFmtId="10" fontId="3" fillId="15" borderId="18" xfId="0" applyNumberFormat="1" applyFont="1" applyFill="1" applyBorder="1" applyAlignment="1" applyProtection="1">
      <alignment horizontal="center" vertical="center"/>
      <protection hidden="1"/>
    </xf>
    <xf numFmtId="10" fontId="3" fillId="15" borderId="186" xfId="0" applyNumberFormat="1" applyFont="1" applyFill="1" applyBorder="1" applyAlignment="1" applyProtection="1">
      <alignment horizontal="center" vertical="center"/>
      <protection hidden="1"/>
    </xf>
    <xf numFmtId="2" fontId="3" fillId="15" borderId="161" xfId="0" applyNumberFormat="1" applyFont="1" applyFill="1" applyBorder="1" applyAlignment="1" applyProtection="1">
      <alignment horizontal="left" vertical="center"/>
      <protection hidden="1"/>
    </xf>
    <xf numFmtId="0" fontId="19" fillId="15" borderId="0" xfId="0" applyFont="1" applyFill="1" applyAlignment="1" applyProtection="1">
      <alignment horizontal="center" vertical="center"/>
      <protection hidden="1"/>
    </xf>
    <xf numFmtId="0" fontId="39" fillId="15" borderId="0" xfId="0" applyFont="1" applyFill="1" applyAlignment="1" applyProtection="1">
      <alignment horizontal="center" vertical="center"/>
      <protection hidden="1"/>
    </xf>
    <xf numFmtId="0" fontId="26" fillId="15" borderId="0" xfId="0" applyFont="1" applyFill="1" applyAlignment="1" applyProtection="1">
      <alignment horizontal="center" vertical="center"/>
      <protection hidden="1"/>
    </xf>
    <xf numFmtId="0" fontId="28" fillId="15" borderId="58" xfId="0" applyFont="1" applyFill="1" applyBorder="1" applyAlignment="1" applyProtection="1">
      <alignment horizontal="center" vertical="center" wrapText="1"/>
      <protection hidden="1"/>
    </xf>
    <xf numFmtId="14" fontId="28" fillId="15" borderId="66" xfId="0" applyNumberFormat="1" applyFont="1" applyFill="1" applyBorder="1" applyAlignment="1" applyProtection="1">
      <alignment horizontal="center" vertical="center"/>
      <protection hidden="1"/>
    </xf>
    <xf numFmtId="10" fontId="3" fillId="15" borderId="66" xfId="0" applyNumberFormat="1" applyFont="1" applyFill="1" applyBorder="1" applyAlignment="1" applyProtection="1">
      <alignment horizontal="center" vertical="center"/>
      <protection hidden="1"/>
    </xf>
    <xf numFmtId="10" fontId="4" fillId="15" borderId="66" xfId="3" applyNumberFormat="1" applyFont="1" applyFill="1" applyBorder="1" applyAlignment="1" applyProtection="1">
      <alignment horizontal="center" vertical="center"/>
      <protection hidden="1"/>
    </xf>
    <xf numFmtId="10" fontId="3" fillId="15" borderId="66" xfId="3" applyNumberFormat="1" applyFont="1" applyFill="1" applyBorder="1" applyAlignment="1" applyProtection="1">
      <alignment horizontal="center" vertical="center"/>
      <protection hidden="1"/>
    </xf>
    <xf numFmtId="10" fontId="25" fillId="15" borderId="80" xfId="0" applyNumberFormat="1" applyFont="1" applyFill="1" applyBorder="1" applyAlignment="1" applyProtection="1">
      <alignment horizontal="center" vertical="center"/>
      <protection hidden="1"/>
    </xf>
    <xf numFmtId="10" fontId="3" fillId="15" borderId="80" xfId="0" applyNumberFormat="1" applyFont="1" applyFill="1" applyBorder="1" applyAlignment="1" applyProtection="1">
      <alignment horizontal="center" vertical="center"/>
      <protection hidden="1"/>
    </xf>
    <xf numFmtId="2" fontId="3" fillId="0" borderId="24" xfId="0" applyNumberFormat="1" applyFont="1" applyBorder="1" applyAlignment="1" applyProtection="1">
      <alignment vertical="center"/>
      <protection hidden="1"/>
    </xf>
    <xf numFmtId="10" fontId="4" fillId="15" borderId="137" xfId="3" applyNumberFormat="1" applyFont="1" applyFill="1" applyBorder="1" applyAlignment="1" applyProtection="1">
      <alignment horizontal="center" vertical="center"/>
      <protection hidden="1"/>
    </xf>
    <xf numFmtId="10" fontId="3" fillId="0" borderId="18" xfId="3" applyNumberFormat="1" applyFont="1" applyBorder="1" applyAlignment="1" applyProtection="1">
      <alignment vertical="center"/>
      <protection hidden="1"/>
    </xf>
    <xf numFmtId="0" fontId="3" fillId="0" borderId="47" xfId="0" applyFont="1" applyBorder="1" applyProtection="1">
      <protection hidden="1"/>
    </xf>
    <xf numFmtId="0" fontId="3" fillId="15" borderId="2" xfId="0" applyFont="1" applyFill="1" applyBorder="1" applyAlignment="1" applyProtection="1">
      <alignment horizontal="center" textRotation="90" wrapText="1"/>
      <protection hidden="1"/>
    </xf>
    <xf numFmtId="0" fontId="41" fillId="15" borderId="1" xfId="0" applyFont="1" applyFill="1" applyBorder="1" applyAlignment="1" applyProtection="1">
      <alignment horizontal="center" textRotation="90" wrapText="1"/>
      <protection hidden="1"/>
    </xf>
    <xf numFmtId="0" fontId="3" fillId="15" borderId="1" xfId="0" applyFont="1" applyFill="1" applyBorder="1" applyAlignment="1" applyProtection="1">
      <alignment horizontal="center" textRotation="90" wrapText="1"/>
      <protection hidden="1"/>
    </xf>
    <xf numFmtId="0" fontId="3" fillId="15" borderId="56" xfId="0" applyFont="1" applyFill="1" applyBorder="1" applyAlignment="1" applyProtection="1">
      <alignment horizontal="center" textRotation="90" wrapText="1"/>
      <protection hidden="1"/>
    </xf>
    <xf numFmtId="0" fontId="53" fillId="15" borderId="182" xfId="0" applyFont="1" applyFill="1" applyBorder="1" applyAlignment="1" applyProtection="1">
      <alignment horizontal="center" vertical="center"/>
      <protection hidden="1"/>
    </xf>
    <xf numFmtId="0" fontId="3" fillId="15" borderId="182" xfId="0" applyFont="1" applyFill="1" applyBorder="1" applyAlignment="1" applyProtection="1">
      <alignment horizontal="center" vertical="center" wrapText="1"/>
      <protection hidden="1"/>
    </xf>
    <xf numFmtId="0" fontId="3" fillId="15" borderId="162" xfId="0" applyFont="1" applyFill="1" applyBorder="1" applyAlignment="1" applyProtection="1">
      <alignment horizontal="center" vertical="center" wrapText="1"/>
      <protection hidden="1"/>
    </xf>
    <xf numFmtId="10" fontId="3" fillId="15" borderId="101" xfId="0" applyNumberFormat="1" applyFont="1" applyFill="1" applyBorder="1" applyAlignment="1" applyProtection="1">
      <alignment horizontal="right" vertical="center"/>
      <protection hidden="1"/>
    </xf>
    <xf numFmtId="0" fontId="53" fillId="15" borderId="163" xfId="0" applyFont="1" applyFill="1" applyBorder="1" applyAlignment="1" applyProtection="1">
      <alignment horizontal="center" vertical="center"/>
      <protection hidden="1"/>
    </xf>
    <xf numFmtId="2" fontId="3" fillId="15" borderId="175" xfId="0" applyNumberFormat="1" applyFont="1" applyFill="1" applyBorder="1" applyAlignment="1" applyProtection="1">
      <alignment horizontal="center" vertical="center"/>
      <protection hidden="1"/>
    </xf>
    <xf numFmtId="2" fontId="3" fillId="15" borderId="161" xfId="0" applyNumberFormat="1" applyFont="1" applyFill="1" applyBorder="1" applyProtection="1">
      <protection hidden="1"/>
    </xf>
    <xf numFmtId="0" fontId="28" fillId="15" borderId="162" xfId="0" applyFont="1" applyFill="1" applyBorder="1" applyAlignment="1" applyProtection="1">
      <alignment horizontal="right" vertical="center"/>
      <protection hidden="1"/>
    </xf>
    <xf numFmtId="2" fontId="28" fillId="15" borderId="176" xfId="0" applyNumberFormat="1" applyFont="1" applyFill="1" applyBorder="1" applyAlignment="1" applyProtection="1">
      <alignment horizontal="center" vertical="center"/>
      <protection hidden="1"/>
    </xf>
    <xf numFmtId="0" fontId="3" fillId="15" borderId="183" xfId="0" applyFont="1" applyFill="1" applyBorder="1" applyAlignment="1" applyProtection="1">
      <alignment horizontal="right" vertical="center"/>
      <protection hidden="1"/>
    </xf>
    <xf numFmtId="0" fontId="28" fillId="15" borderId="184" xfId="0" applyFont="1" applyFill="1" applyBorder="1" applyAlignment="1" applyProtection="1">
      <alignment horizontal="right" vertical="center"/>
      <protection hidden="1"/>
    </xf>
    <xf numFmtId="2" fontId="28" fillId="15" borderId="162" xfId="0" applyNumberFormat="1" applyFont="1" applyFill="1" applyBorder="1" applyProtection="1">
      <protection hidden="1"/>
    </xf>
    <xf numFmtId="0" fontId="3" fillId="15" borderId="0" xfId="0" applyFont="1" applyFill="1" applyBorder="1" applyAlignment="1" applyProtection="1">
      <alignment vertical="center" wrapText="1"/>
      <protection hidden="1"/>
    </xf>
    <xf numFmtId="0" fontId="28" fillId="15" borderId="160" xfId="0" applyFont="1" applyFill="1" applyBorder="1" applyAlignment="1" applyProtection="1">
      <alignment horizontal="center" vertical="center" wrapText="1"/>
      <protection hidden="1"/>
    </xf>
    <xf numFmtId="9" fontId="3" fillId="15" borderId="0" xfId="3" applyFont="1" applyFill="1" applyBorder="1" applyProtection="1">
      <protection hidden="1"/>
    </xf>
    <xf numFmtId="2" fontId="53" fillId="15" borderId="162" xfId="0" applyNumberFormat="1" applyFont="1" applyFill="1" applyBorder="1" applyProtection="1">
      <protection hidden="1"/>
    </xf>
    <xf numFmtId="0" fontId="28" fillId="15" borderId="1" xfId="0" applyFont="1" applyFill="1" applyBorder="1" applyAlignment="1" applyProtection="1">
      <alignment horizontal="center" vertical="center" wrapText="1"/>
      <protection hidden="1"/>
    </xf>
    <xf numFmtId="0" fontId="28" fillId="15" borderId="1" xfId="0" applyFont="1" applyFill="1" applyBorder="1" applyAlignment="1" applyProtection="1">
      <alignment horizontal="center" vertical="center"/>
      <protection hidden="1"/>
    </xf>
    <xf numFmtId="0" fontId="31" fillId="0" borderId="1" xfId="0" applyFont="1" applyBorder="1" applyAlignment="1">
      <alignment vertical="center" wrapText="1"/>
    </xf>
    <xf numFmtId="9" fontId="31" fillId="0" borderId="1" xfId="0" applyNumberFormat="1" applyFont="1" applyBorder="1" applyAlignment="1">
      <alignment horizontal="center" vertical="center" wrapText="1"/>
    </xf>
    <xf numFmtId="10" fontId="31" fillId="0" borderId="1" xfId="0" applyNumberFormat="1" applyFont="1" applyBorder="1" applyAlignment="1">
      <alignment horizontal="center" vertical="center" wrapText="1"/>
    </xf>
    <xf numFmtId="2" fontId="59" fillId="0" borderId="1" xfId="0" applyNumberFormat="1" applyFont="1" applyBorder="1" applyAlignment="1">
      <alignment horizontal="center" vertical="center" wrapText="1"/>
    </xf>
    <xf numFmtId="168" fontId="59" fillId="0" borderId="1" xfId="0" applyNumberFormat="1" applyFont="1" applyBorder="1" applyAlignment="1">
      <alignment horizontal="center" vertical="center" wrapText="1"/>
    </xf>
    <xf numFmtId="2" fontId="33" fillId="12" borderId="53" xfId="0" applyNumberFormat="1" applyFont="1" applyFill="1" applyBorder="1" applyAlignment="1" applyProtection="1">
      <alignment horizontal="center" vertical="center"/>
      <protection hidden="1"/>
    </xf>
    <xf numFmtId="0" fontId="0" fillId="0" borderId="147" xfId="0" applyBorder="1" applyProtection="1">
      <protection hidden="1"/>
    </xf>
    <xf numFmtId="0" fontId="0" fillId="0" borderId="127" xfId="0" applyBorder="1" applyProtection="1">
      <protection hidden="1"/>
    </xf>
    <xf numFmtId="2" fontId="33" fillId="0" borderId="147" xfId="0" applyNumberFormat="1" applyFont="1" applyBorder="1" applyAlignment="1" applyProtection="1">
      <alignment horizontal="center" vertical="center"/>
      <protection hidden="1"/>
    </xf>
    <xf numFmtId="2" fontId="33" fillId="0" borderId="127" xfId="0" applyNumberFormat="1" applyFont="1" applyBorder="1" applyAlignment="1" applyProtection="1">
      <alignment horizontal="center" vertical="center"/>
      <protection hidden="1"/>
    </xf>
    <xf numFmtId="2" fontId="28" fillId="12" borderId="0" xfId="0" applyNumberFormat="1" applyFont="1" applyFill="1" applyBorder="1" applyAlignment="1" applyProtection="1">
      <alignment horizontal="center" vertical="center"/>
      <protection hidden="1"/>
    </xf>
    <xf numFmtId="2" fontId="33" fillId="12" borderId="191" xfId="0" applyNumberFormat="1" applyFont="1" applyFill="1" applyBorder="1" applyAlignment="1" applyProtection="1">
      <alignment horizontal="center" vertical="center"/>
      <protection hidden="1"/>
    </xf>
    <xf numFmtId="0" fontId="0" fillId="0" borderId="119" xfId="0" applyBorder="1" applyProtection="1">
      <protection hidden="1"/>
    </xf>
    <xf numFmtId="2" fontId="33" fillId="0" borderId="119" xfId="0" applyNumberFormat="1" applyFont="1" applyBorder="1" applyAlignment="1" applyProtection="1">
      <alignment horizontal="center" vertical="center"/>
      <protection hidden="1"/>
    </xf>
    <xf numFmtId="0" fontId="29" fillId="12" borderId="0" xfId="0" applyFont="1" applyFill="1" applyBorder="1" applyProtection="1">
      <protection hidden="1"/>
    </xf>
    <xf numFmtId="0" fontId="29" fillId="12" borderId="0" xfId="0" applyFont="1" applyFill="1" applyBorder="1" applyProtection="1"/>
    <xf numFmtId="0" fontId="0" fillId="0" borderId="0" xfId="0" applyBorder="1" applyProtection="1">
      <protection hidden="1"/>
    </xf>
    <xf numFmtId="0" fontId="0" fillId="6" borderId="0" xfId="0" applyFill="1" applyBorder="1" applyProtection="1"/>
    <xf numFmtId="0" fontId="31" fillId="0" borderId="147" xfId="0" applyFont="1" applyBorder="1" applyAlignment="1" applyProtection="1">
      <alignment horizontal="center" vertical="center"/>
      <protection hidden="1"/>
    </xf>
    <xf numFmtId="0" fontId="29" fillId="6" borderId="0" xfId="0" applyFont="1" applyFill="1" applyBorder="1" applyProtection="1"/>
    <xf numFmtId="14" fontId="28" fillId="15" borderId="1" xfId="0" applyNumberFormat="1" applyFont="1" applyFill="1" applyBorder="1" applyAlignment="1" applyProtection="1">
      <alignment horizontal="center" vertical="center" wrapText="1"/>
      <protection hidden="1"/>
    </xf>
    <xf numFmtId="14" fontId="28" fillId="15" borderId="1" xfId="0" applyNumberFormat="1" applyFont="1" applyFill="1" applyBorder="1" applyAlignment="1" applyProtection="1">
      <alignment horizontal="center" vertical="center"/>
      <protection hidden="1"/>
    </xf>
    <xf numFmtId="0" fontId="26" fillId="15" borderId="1" xfId="0" applyFont="1" applyFill="1" applyBorder="1" applyAlignment="1" applyProtection="1">
      <alignment horizontal="center" vertical="center"/>
      <protection hidden="1"/>
    </xf>
    <xf numFmtId="10" fontId="26" fillId="15" borderId="1" xfId="0" applyNumberFormat="1" applyFont="1" applyFill="1" applyBorder="1" applyAlignment="1" applyProtection="1">
      <alignment horizontal="center" vertical="center"/>
      <protection hidden="1"/>
    </xf>
    <xf numFmtId="10" fontId="25" fillId="15" borderId="1" xfId="0" applyNumberFormat="1" applyFont="1" applyFill="1" applyBorder="1" applyAlignment="1" applyProtection="1">
      <alignment horizontal="center" vertical="center"/>
      <protection hidden="1"/>
    </xf>
    <xf numFmtId="10" fontId="28" fillId="15" borderId="1" xfId="0" applyNumberFormat="1" applyFont="1" applyFill="1" applyBorder="1" applyAlignment="1" applyProtection="1">
      <alignment horizontal="center" vertical="center"/>
      <protection hidden="1"/>
    </xf>
    <xf numFmtId="0" fontId="28" fillId="5" borderId="114" xfId="0" applyFont="1" applyFill="1" applyBorder="1" applyAlignment="1" applyProtection="1">
      <alignment horizontal="center" vertical="center" wrapText="1"/>
      <protection hidden="1"/>
    </xf>
    <xf numFmtId="2" fontId="48" fillId="15" borderId="149" xfId="0" applyNumberFormat="1" applyFont="1" applyFill="1" applyBorder="1" applyAlignment="1" applyProtection="1">
      <alignment horizontal="center" vertical="center"/>
    </xf>
    <xf numFmtId="0" fontId="7" fillId="6" borderId="57" xfId="0" applyFont="1" applyFill="1" applyBorder="1" applyAlignment="1" applyProtection="1">
      <alignment horizontal="center" vertical="center"/>
      <protection hidden="1"/>
    </xf>
    <xf numFmtId="0" fontId="34" fillId="6" borderId="57" xfId="0" applyFont="1" applyFill="1" applyBorder="1" applyAlignment="1" applyProtection="1">
      <alignment horizontal="center" vertical="center"/>
      <protection hidden="1"/>
    </xf>
    <xf numFmtId="3" fontId="47" fillId="5" borderId="63" xfId="0" applyNumberFormat="1" applyFont="1" applyFill="1" applyBorder="1" applyAlignment="1" applyProtection="1">
      <alignment horizontal="center" vertical="center"/>
    </xf>
    <xf numFmtId="4" fontId="47" fillId="15" borderId="59" xfId="0" applyNumberFormat="1" applyFont="1" applyFill="1" applyBorder="1" applyAlignment="1" applyProtection="1">
      <alignment horizontal="center" vertical="center"/>
    </xf>
    <xf numFmtId="0" fontId="47" fillId="15" borderId="61" xfId="0" applyFont="1" applyFill="1" applyBorder="1" applyAlignment="1" applyProtection="1">
      <alignment horizontal="center" vertical="center"/>
    </xf>
    <xf numFmtId="2" fontId="48" fillId="15" borderId="54" xfId="0" applyNumberFormat="1" applyFont="1" applyFill="1" applyBorder="1" applyAlignment="1" applyProtection="1">
      <alignment horizontal="center" vertical="center"/>
    </xf>
    <xf numFmtId="167" fontId="47" fillId="5" borderId="26" xfId="0" applyNumberFormat="1" applyFont="1" applyFill="1" applyBorder="1" applyAlignment="1" applyProtection="1">
      <alignment horizontal="center" vertical="center"/>
    </xf>
    <xf numFmtId="1" fontId="47" fillId="5" borderId="92" xfId="0" applyNumberFormat="1" applyFont="1" applyFill="1" applyBorder="1" applyAlignment="1" applyProtection="1">
      <alignment horizontal="center" vertical="center"/>
    </xf>
    <xf numFmtId="1" fontId="47" fillId="5" borderId="99" xfId="0" applyNumberFormat="1" applyFont="1" applyFill="1" applyBorder="1" applyAlignment="1" applyProtection="1">
      <alignment horizontal="center" vertical="center"/>
    </xf>
    <xf numFmtId="1" fontId="47" fillId="5" borderId="5" xfId="0" applyNumberFormat="1" applyFont="1" applyFill="1" applyBorder="1" applyAlignment="1" applyProtection="1">
      <alignment horizontal="center" vertical="center"/>
    </xf>
    <xf numFmtId="1" fontId="47" fillId="5" borderId="26" xfId="0" applyNumberFormat="1" applyFont="1" applyFill="1" applyBorder="1" applyAlignment="1" applyProtection="1">
      <alignment horizontal="center" vertical="center"/>
    </xf>
    <xf numFmtId="167" fontId="47" fillId="5" borderId="134" xfId="0" applyNumberFormat="1" applyFont="1" applyFill="1" applyBorder="1" applyAlignment="1" applyProtection="1">
      <alignment horizontal="center" vertical="center"/>
    </xf>
    <xf numFmtId="167" fontId="47" fillId="5" borderId="133" xfId="0" applyNumberFormat="1" applyFont="1" applyFill="1" applyBorder="1" applyAlignment="1" applyProtection="1">
      <alignment horizontal="center" vertical="center"/>
    </xf>
    <xf numFmtId="3" fontId="47" fillId="5" borderId="99" xfId="0" applyNumberFormat="1" applyFont="1" applyFill="1" applyBorder="1" applyAlignment="1" applyProtection="1">
      <alignment horizontal="center" vertical="center"/>
    </xf>
    <xf numFmtId="3" fontId="47" fillId="5" borderId="78" xfId="0" applyNumberFormat="1" applyFont="1" applyFill="1" applyBorder="1" applyAlignment="1" applyProtection="1">
      <alignment horizontal="center" vertical="center"/>
    </xf>
    <xf numFmtId="4" fontId="47" fillId="5" borderId="116" xfId="0" applyNumberFormat="1" applyFont="1" applyFill="1" applyBorder="1" applyAlignment="1" applyProtection="1">
      <alignment horizontal="center" vertical="center"/>
    </xf>
    <xf numFmtId="4" fontId="47" fillId="5" borderId="5" xfId="3" applyNumberFormat="1" applyFont="1" applyFill="1" applyBorder="1" applyAlignment="1" applyProtection="1">
      <alignment horizontal="center" vertical="center"/>
    </xf>
    <xf numFmtId="4" fontId="48" fillId="5" borderId="100" xfId="0" applyNumberFormat="1" applyFont="1" applyFill="1" applyBorder="1" applyAlignment="1" applyProtection="1">
      <alignment horizontal="center" vertical="center"/>
    </xf>
    <xf numFmtId="4" fontId="48" fillId="5" borderId="61" xfId="0" applyNumberFormat="1" applyFont="1" applyFill="1" applyBorder="1" applyAlignment="1" applyProtection="1">
      <alignment horizontal="center" vertical="center"/>
    </xf>
    <xf numFmtId="4" fontId="47" fillId="5" borderId="53" xfId="0" applyNumberFormat="1" applyFont="1" applyFill="1" applyBorder="1" applyAlignment="1" applyProtection="1">
      <alignment horizontal="center" vertical="center"/>
    </xf>
    <xf numFmtId="4" fontId="48" fillId="5" borderId="54" xfId="0" applyNumberFormat="1" applyFont="1" applyFill="1" applyBorder="1" applyAlignment="1" applyProtection="1">
      <alignment horizontal="center" vertical="center"/>
    </xf>
    <xf numFmtId="167" fontId="47" fillId="5" borderId="18" xfId="0" applyNumberFormat="1" applyFont="1" applyFill="1" applyBorder="1" applyAlignment="1" applyProtection="1">
      <alignment horizontal="center" vertical="center"/>
    </xf>
    <xf numFmtId="167" fontId="47" fillId="5" borderId="1" xfId="0" applyNumberFormat="1" applyFont="1" applyFill="1" applyBorder="1" applyAlignment="1" applyProtection="1">
      <alignment horizontal="center" vertical="center"/>
    </xf>
    <xf numFmtId="167" fontId="48" fillId="5" borderId="4" xfId="0" applyNumberFormat="1" applyFont="1" applyFill="1" applyBorder="1" applyAlignment="1" applyProtection="1">
      <alignment horizontal="center" vertical="center"/>
    </xf>
    <xf numFmtId="167" fontId="47" fillId="5" borderId="24" xfId="0" applyNumberFormat="1" applyFont="1" applyFill="1" applyBorder="1" applyAlignment="1" applyProtection="1">
      <alignment horizontal="center" vertical="center"/>
    </xf>
    <xf numFmtId="167" fontId="48" fillId="5" borderId="54" xfId="1" applyNumberFormat="1" applyFont="1" applyFill="1" applyBorder="1" applyAlignment="1" applyProtection="1">
      <alignment horizontal="center" vertical="center"/>
    </xf>
    <xf numFmtId="0" fontId="7" fillId="6" borderId="57" xfId="0" applyFont="1" applyFill="1" applyBorder="1" applyProtection="1">
      <protection hidden="1"/>
    </xf>
    <xf numFmtId="0" fontId="7" fillId="0" borderId="57" xfId="0" applyFont="1" applyBorder="1" applyProtection="1">
      <protection hidden="1"/>
    </xf>
    <xf numFmtId="0" fontId="7" fillId="6" borderId="0" xfId="0" applyFont="1" applyFill="1" applyBorder="1" applyProtection="1">
      <protection hidden="1"/>
    </xf>
    <xf numFmtId="0" fontId="7" fillId="0" borderId="0" xfId="0" applyFont="1" applyBorder="1" applyProtection="1">
      <protection hidden="1"/>
    </xf>
    <xf numFmtId="2" fontId="48" fillId="5" borderId="54" xfId="0" applyNumberFormat="1" applyFont="1" applyFill="1" applyBorder="1" applyAlignment="1" applyProtection="1">
      <alignment horizontal="center" vertical="center"/>
      <protection hidden="1"/>
    </xf>
    <xf numFmtId="2" fontId="50" fillId="5" borderId="54" xfId="0" applyNumberFormat="1" applyFont="1" applyFill="1" applyBorder="1" applyAlignment="1" applyProtection="1">
      <alignment horizontal="center" vertical="center"/>
      <protection hidden="1"/>
    </xf>
    <xf numFmtId="2" fontId="50" fillId="5" borderId="54" xfId="0" applyNumberFormat="1" applyFont="1" applyFill="1" applyBorder="1" applyAlignment="1" applyProtection="1">
      <alignment horizontal="center" vertical="center"/>
    </xf>
    <xf numFmtId="0" fontId="47" fillId="5" borderId="54" xfId="0" applyFont="1" applyFill="1" applyBorder="1" applyProtection="1"/>
    <xf numFmtId="0" fontId="9" fillId="5" borderId="194" xfId="0" applyFont="1" applyFill="1" applyBorder="1" applyAlignment="1" applyProtection="1">
      <alignment horizontal="center" wrapText="1"/>
      <protection hidden="1"/>
    </xf>
    <xf numFmtId="0" fontId="47" fillId="5" borderId="108" xfId="0" applyFont="1" applyFill="1" applyBorder="1" applyAlignment="1" applyProtection="1">
      <alignment horizontal="center" vertical="center"/>
      <protection hidden="1"/>
    </xf>
    <xf numFmtId="3" fontId="47" fillId="5" borderId="109" xfId="0" applyNumberFormat="1" applyFont="1" applyFill="1" applyBorder="1" applyAlignment="1" applyProtection="1">
      <alignment horizontal="center" vertical="center"/>
      <protection hidden="1"/>
    </xf>
    <xf numFmtId="0" fontId="47" fillId="5" borderId="109" xfId="0" applyFont="1" applyFill="1" applyBorder="1" applyAlignment="1" applyProtection="1">
      <alignment horizontal="center" vertical="center"/>
      <protection hidden="1"/>
    </xf>
    <xf numFmtId="3" fontId="47" fillId="5" borderId="110" xfId="0" applyNumberFormat="1" applyFont="1" applyFill="1" applyBorder="1" applyAlignment="1" applyProtection="1">
      <alignment horizontal="center" vertical="center"/>
      <protection hidden="1"/>
    </xf>
    <xf numFmtId="0" fontId="47" fillId="5" borderId="110" xfId="0" applyFont="1" applyFill="1" applyBorder="1" applyAlignment="1" applyProtection="1">
      <alignment horizontal="center" vertical="center"/>
      <protection hidden="1"/>
    </xf>
    <xf numFmtId="0" fontId="48" fillId="5" borderId="189" xfId="0" applyFont="1" applyFill="1" applyBorder="1" applyAlignment="1" applyProtection="1">
      <alignment horizontal="center" vertical="center"/>
      <protection hidden="1"/>
    </xf>
    <xf numFmtId="3" fontId="47" fillId="5" borderId="188" xfId="0" applyNumberFormat="1" applyFont="1" applyFill="1" applyBorder="1" applyAlignment="1" applyProtection="1">
      <alignment horizontal="center" vertical="center"/>
      <protection hidden="1"/>
    </xf>
    <xf numFmtId="0" fontId="47" fillId="5" borderId="188" xfId="0" applyFont="1" applyFill="1" applyBorder="1" applyAlignment="1" applyProtection="1">
      <alignment horizontal="center" vertical="center"/>
      <protection hidden="1"/>
    </xf>
    <xf numFmtId="0" fontId="47" fillId="5" borderId="189" xfId="0" applyFont="1" applyFill="1" applyBorder="1" applyAlignment="1" applyProtection="1">
      <alignment horizontal="center" vertical="center"/>
      <protection hidden="1"/>
    </xf>
    <xf numFmtId="0" fontId="48" fillId="5" borderId="110" xfId="0" applyFont="1" applyFill="1" applyBorder="1" applyAlignment="1" applyProtection="1">
      <alignment horizontal="center" vertical="center"/>
      <protection hidden="1"/>
    </xf>
    <xf numFmtId="0" fontId="47" fillId="5" borderId="191" xfId="0" applyFont="1" applyFill="1" applyBorder="1" applyAlignment="1" applyProtection="1">
      <alignment horizontal="center" vertical="center"/>
      <protection hidden="1"/>
    </xf>
    <xf numFmtId="0" fontId="48" fillId="5" borderId="191" xfId="0" applyFont="1" applyFill="1" applyBorder="1" applyAlignment="1" applyProtection="1">
      <alignment horizontal="center" vertical="center"/>
      <protection hidden="1"/>
    </xf>
    <xf numFmtId="0" fontId="9" fillId="5" borderId="194" xfId="0" applyFont="1" applyFill="1" applyBorder="1" applyAlignment="1" applyProtection="1">
      <alignment horizontal="center"/>
      <protection hidden="1"/>
    </xf>
    <xf numFmtId="0" fontId="7" fillId="5" borderId="108" xfId="0" applyFont="1" applyFill="1" applyBorder="1" applyAlignment="1" applyProtection="1">
      <alignment horizontal="center" vertical="center"/>
      <protection hidden="1"/>
    </xf>
    <xf numFmtId="0" fontId="7" fillId="5" borderId="109" xfId="0" applyFont="1" applyFill="1" applyBorder="1" applyAlignment="1" applyProtection="1">
      <alignment horizontal="center" vertical="center"/>
      <protection hidden="1"/>
    </xf>
    <xf numFmtId="0" fontId="7" fillId="5" borderId="110" xfId="0" applyFont="1" applyFill="1" applyBorder="1" applyAlignment="1" applyProtection="1">
      <alignment horizontal="center" vertical="center"/>
      <protection hidden="1"/>
    </xf>
    <xf numFmtId="0" fontId="4" fillId="5" borderId="110" xfId="0" applyFont="1" applyFill="1" applyBorder="1" applyAlignment="1" applyProtection="1">
      <alignment horizontal="center" vertical="center"/>
      <protection hidden="1"/>
    </xf>
    <xf numFmtId="0" fontId="9" fillId="5" borderId="189" xfId="0" applyFont="1" applyFill="1" applyBorder="1" applyAlignment="1" applyProtection="1">
      <alignment horizontal="center" vertical="center"/>
      <protection hidden="1"/>
    </xf>
    <xf numFmtId="0" fontId="7" fillId="5" borderId="188" xfId="0" applyFont="1" applyFill="1" applyBorder="1" applyAlignment="1" applyProtection="1">
      <alignment horizontal="center" vertical="center"/>
      <protection hidden="1"/>
    </xf>
    <xf numFmtId="169" fontId="7" fillId="5" borderId="109" xfId="1" applyNumberFormat="1" applyFont="1" applyFill="1" applyBorder="1" applyAlignment="1" applyProtection="1">
      <alignment horizontal="center" vertical="center"/>
      <protection hidden="1"/>
    </xf>
    <xf numFmtId="169" fontId="7" fillId="5" borderId="110" xfId="1" applyNumberFormat="1" applyFont="1" applyFill="1" applyBorder="1" applyAlignment="1" applyProtection="1">
      <alignment horizontal="center" vertical="center"/>
      <protection hidden="1"/>
    </xf>
    <xf numFmtId="0" fontId="7" fillId="5" borderId="189" xfId="0" applyFont="1" applyFill="1" applyBorder="1" applyAlignment="1" applyProtection="1">
      <alignment horizontal="center" vertical="center"/>
      <protection hidden="1"/>
    </xf>
    <xf numFmtId="0" fontId="9" fillId="5" borderId="110" xfId="0" applyFont="1" applyFill="1" applyBorder="1" applyAlignment="1" applyProtection="1">
      <alignment horizontal="center" vertical="center"/>
      <protection hidden="1"/>
    </xf>
    <xf numFmtId="0" fontId="7" fillId="5" borderId="191" xfId="0" applyFont="1" applyFill="1" applyBorder="1" applyAlignment="1" applyProtection="1">
      <alignment horizontal="center" vertical="center"/>
      <protection hidden="1"/>
    </xf>
    <xf numFmtId="0" fontId="9" fillId="5" borderId="50" xfId="0" applyFont="1" applyFill="1" applyBorder="1" applyAlignment="1" applyProtection="1">
      <alignment horizontal="center" vertical="center" wrapText="1"/>
      <protection hidden="1"/>
    </xf>
    <xf numFmtId="2" fontId="47" fillId="5" borderId="5" xfId="3" applyNumberFormat="1" applyFont="1" applyFill="1" applyBorder="1" applyAlignment="1" applyProtection="1">
      <alignment horizontal="center" vertical="center"/>
    </xf>
    <xf numFmtId="2" fontId="47" fillId="5" borderId="124" xfId="0" applyNumberFormat="1" applyFont="1" applyFill="1" applyBorder="1" applyAlignment="1" applyProtection="1">
      <alignment horizontal="center" vertical="center"/>
    </xf>
    <xf numFmtId="2" fontId="47" fillId="5" borderId="38" xfId="0" applyNumberFormat="1" applyFont="1" applyFill="1" applyBorder="1" applyAlignment="1" applyProtection="1">
      <alignment horizontal="center" vertical="center"/>
    </xf>
    <xf numFmtId="2" fontId="47" fillId="5" borderId="24" xfId="0" applyNumberFormat="1" applyFont="1" applyFill="1" applyBorder="1" applyAlignment="1" applyProtection="1">
      <alignment horizontal="center" vertical="center"/>
      <protection hidden="1"/>
    </xf>
    <xf numFmtId="2" fontId="47" fillId="5" borderId="93" xfId="1" applyNumberFormat="1" applyFont="1" applyFill="1" applyBorder="1" applyAlignment="1" applyProtection="1">
      <alignment horizontal="center" vertical="center"/>
      <protection hidden="1"/>
    </xf>
    <xf numFmtId="2" fontId="47" fillId="5" borderId="133" xfId="1" applyNumberFormat="1" applyFont="1" applyFill="1" applyBorder="1" applyAlignment="1" applyProtection="1">
      <alignment horizontal="center" vertical="center"/>
      <protection hidden="1"/>
    </xf>
    <xf numFmtId="2" fontId="84" fillId="5" borderId="26" xfId="0" applyNumberFormat="1" applyFont="1" applyFill="1" applyBorder="1" applyAlignment="1" applyProtection="1">
      <alignment horizontal="center" vertical="center"/>
      <protection hidden="1"/>
    </xf>
    <xf numFmtId="2" fontId="47" fillId="5" borderId="114" xfId="0" applyNumberFormat="1" applyFont="1" applyFill="1" applyBorder="1" applyProtection="1"/>
    <xf numFmtId="2" fontId="47" fillId="5" borderId="4" xfId="0" applyNumberFormat="1" applyFont="1" applyFill="1" applyBorder="1"/>
    <xf numFmtId="2" fontId="47" fillId="5" borderId="4" xfId="0" applyNumberFormat="1" applyFont="1" applyFill="1" applyBorder="1" applyProtection="1"/>
    <xf numFmtId="2" fontId="47" fillId="5" borderId="121" xfId="0" applyNumberFormat="1" applyFont="1" applyFill="1" applyBorder="1" applyProtection="1"/>
    <xf numFmtId="2" fontId="47" fillId="5" borderId="5" xfId="0" applyNumberFormat="1" applyFont="1" applyFill="1" applyBorder="1" applyProtection="1">
      <protection hidden="1"/>
    </xf>
    <xf numFmtId="2" fontId="47" fillId="5" borderId="4" xfId="0" applyNumberFormat="1" applyFont="1" applyFill="1" applyBorder="1" applyAlignment="1" applyProtection="1">
      <alignment horizontal="center"/>
    </xf>
    <xf numFmtId="2" fontId="47" fillId="5" borderId="121" xfId="0" applyNumberFormat="1" applyFont="1" applyFill="1" applyBorder="1" applyAlignment="1" applyProtection="1">
      <alignment horizontal="center"/>
    </xf>
    <xf numFmtId="2" fontId="47" fillId="5" borderId="53" xfId="0" applyNumberFormat="1" applyFont="1" applyFill="1" applyBorder="1" applyAlignment="1" applyProtection="1">
      <alignment horizontal="center" vertical="center"/>
      <protection hidden="1"/>
    </xf>
    <xf numFmtId="2" fontId="47" fillId="5" borderId="54" xfId="0" applyNumberFormat="1" applyFont="1" applyFill="1" applyBorder="1" applyAlignment="1" applyProtection="1">
      <alignment horizontal="center" vertical="center"/>
      <protection hidden="1"/>
    </xf>
    <xf numFmtId="2" fontId="47" fillId="5" borderId="61" xfId="0" applyNumberFormat="1" applyFont="1" applyFill="1" applyBorder="1" applyAlignment="1" applyProtection="1">
      <alignment horizontal="center" vertical="center"/>
      <protection hidden="1"/>
    </xf>
    <xf numFmtId="2" fontId="47" fillId="5" borderId="53" xfId="0" applyNumberFormat="1" applyFont="1" applyFill="1" applyBorder="1" applyAlignment="1" applyProtection="1">
      <alignment horizontal="center" vertical="center"/>
    </xf>
    <xf numFmtId="2" fontId="47" fillId="5" borderId="53" xfId="0" applyNumberFormat="1" applyFont="1" applyFill="1" applyBorder="1" applyProtection="1"/>
    <xf numFmtId="2" fontId="47" fillId="5" borderId="54" xfId="0" applyNumberFormat="1" applyFont="1" applyFill="1" applyBorder="1"/>
    <xf numFmtId="2" fontId="47" fillId="5" borderId="54" xfId="0" applyNumberFormat="1" applyFont="1" applyFill="1" applyBorder="1" applyProtection="1"/>
    <xf numFmtId="2" fontId="47" fillId="5" borderId="63" xfId="0" applyNumberFormat="1" applyFont="1" applyFill="1" applyBorder="1" applyProtection="1"/>
    <xf numFmtId="2" fontId="47" fillId="0" borderId="0" xfId="0" applyNumberFormat="1" applyFont="1" applyProtection="1">
      <protection hidden="1"/>
    </xf>
    <xf numFmtId="2" fontId="47" fillId="0" borderId="0" xfId="0" applyNumberFormat="1" applyFont="1" applyProtection="1"/>
    <xf numFmtId="2" fontId="47" fillId="5" borderId="0" xfId="0" applyNumberFormat="1" applyFont="1" applyFill="1" applyProtection="1"/>
    <xf numFmtId="0" fontId="9" fillId="5" borderId="51" xfId="0" applyFont="1" applyFill="1" applyBorder="1" applyAlignment="1" applyProtection="1">
      <alignment horizontal="center" vertical="center"/>
      <protection hidden="1"/>
    </xf>
    <xf numFmtId="0" fontId="4" fillId="5" borderId="41" xfId="0" applyFont="1" applyFill="1" applyBorder="1" applyAlignment="1" applyProtection="1">
      <alignment vertical="center" wrapText="1"/>
      <protection hidden="1"/>
    </xf>
    <xf numFmtId="0" fontId="27" fillId="5" borderId="59" xfId="0" applyFont="1" applyFill="1" applyBorder="1" applyAlignment="1" applyProtection="1">
      <alignment horizontal="right" vertical="center" wrapText="1"/>
      <protection hidden="1"/>
    </xf>
    <xf numFmtId="0" fontId="9" fillId="5" borderId="194" xfId="0" applyFont="1" applyFill="1" applyBorder="1" applyAlignment="1" applyProtection="1">
      <alignment horizontal="center" vertical="center"/>
      <protection hidden="1"/>
    </xf>
    <xf numFmtId="0" fontId="9" fillId="5" borderId="194" xfId="0" applyFont="1" applyFill="1" applyBorder="1" applyAlignment="1" applyProtection="1">
      <alignment horizontal="center" vertical="center" wrapText="1"/>
      <protection hidden="1"/>
    </xf>
    <xf numFmtId="0" fontId="9" fillId="5" borderId="191" xfId="0" applyFont="1" applyFill="1" applyBorder="1" applyAlignment="1" applyProtection="1">
      <alignment horizontal="center" vertical="center"/>
      <protection hidden="1"/>
    </xf>
    <xf numFmtId="2" fontId="48" fillId="5" borderId="149" xfId="0" applyNumberFormat="1" applyFont="1" applyFill="1" applyBorder="1" applyAlignment="1" applyProtection="1">
      <alignment horizontal="center" vertical="center"/>
    </xf>
    <xf numFmtId="0" fontId="7" fillId="5" borderId="57" xfId="0" applyFont="1" applyFill="1" applyBorder="1" applyProtection="1">
      <protection hidden="1"/>
    </xf>
    <xf numFmtId="0" fontId="0" fillId="5" borderId="57" xfId="0" applyFill="1" applyBorder="1" applyProtection="1">
      <protection hidden="1"/>
    </xf>
    <xf numFmtId="0" fontId="34" fillId="5" borderId="57" xfId="0" applyFont="1" applyFill="1" applyBorder="1" applyAlignment="1" applyProtection="1">
      <alignment horizontal="center" vertical="center"/>
      <protection hidden="1"/>
    </xf>
    <xf numFmtId="0" fontId="0" fillId="6" borderId="57" xfId="0" applyFill="1" applyBorder="1" applyProtection="1">
      <protection hidden="1"/>
    </xf>
    <xf numFmtId="0" fontId="7" fillId="5" borderId="0" xfId="0" applyFont="1" applyFill="1" applyBorder="1" applyProtection="1">
      <protection hidden="1"/>
    </xf>
    <xf numFmtId="0" fontId="7" fillId="5" borderId="0" xfId="0" applyFont="1" applyFill="1" applyBorder="1" applyAlignment="1" applyProtection="1">
      <alignment horizontal="center" vertical="center"/>
      <protection hidden="1"/>
    </xf>
    <xf numFmtId="0" fontId="47" fillId="5" borderId="0" xfId="0" applyFont="1" applyFill="1" applyBorder="1" applyAlignment="1" applyProtection="1">
      <alignment horizontal="center"/>
      <protection hidden="1"/>
    </xf>
    <xf numFmtId="0" fontId="47" fillId="5" borderId="0" xfId="0" applyFont="1" applyFill="1" applyBorder="1" applyAlignment="1" applyProtection="1">
      <alignment horizontal="center"/>
    </xf>
    <xf numFmtId="0" fontId="47" fillId="5" borderId="192" xfId="0" applyFont="1" applyFill="1" applyBorder="1" applyAlignment="1" applyProtection="1">
      <alignment horizontal="center"/>
      <protection hidden="1"/>
    </xf>
    <xf numFmtId="4" fontId="47" fillId="5" borderId="0" xfId="0" applyNumberFormat="1" applyFont="1" applyFill="1" applyBorder="1" applyAlignment="1" applyProtection="1">
      <alignment horizontal="center" vertical="center"/>
    </xf>
    <xf numFmtId="4" fontId="47" fillId="5" borderId="4" xfId="0" applyNumberFormat="1" applyFont="1" applyFill="1" applyBorder="1" applyAlignment="1" applyProtection="1">
      <alignment horizontal="center"/>
    </xf>
    <xf numFmtId="4" fontId="47" fillId="5" borderId="121" xfId="0" applyNumberFormat="1" applyFont="1" applyFill="1" applyBorder="1" applyAlignment="1" applyProtection="1">
      <alignment horizontal="center"/>
    </xf>
    <xf numFmtId="4" fontId="47" fillId="5" borderId="192" xfId="0" applyNumberFormat="1" applyFont="1" applyFill="1" applyBorder="1" applyAlignment="1" applyProtection="1">
      <alignment horizontal="center" vertical="center"/>
    </xf>
    <xf numFmtId="10" fontId="31" fillId="0" borderId="0" xfId="0" applyNumberFormat="1" applyFont="1" applyBorder="1" applyAlignment="1">
      <alignment horizontal="center" vertical="center" wrapText="1"/>
    </xf>
    <xf numFmtId="0" fontId="31" fillId="0" borderId="2" xfId="0" applyFont="1" applyBorder="1" applyAlignment="1">
      <alignment vertical="center" wrapText="1"/>
    </xf>
    <xf numFmtId="0" fontId="3" fillId="0" borderId="2" xfId="0" applyFont="1" applyBorder="1" applyProtection="1">
      <protection hidden="1"/>
    </xf>
    <xf numFmtId="9" fontId="31" fillId="0" borderId="4" xfId="0" applyNumberFormat="1" applyFont="1" applyBorder="1" applyAlignment="1">
      <alignment horizontal="center" vertical="center" wrapText="1"/>
    </xf>
    <xf numFmtId="2" fontId="59" fillId="0" borderId="4" xfId="0" applyNumberFormat="1" applyFont="1" applyBorder="1" applyAlignment="1">
      <alignment horizontal="center" vertical="center" wrapText="1"/>
    </xf>
    <xf numFmtId="0" fontId="28" fillId="15" borderId="1" xfId="0" applyFont="1" applyFill="1" applyBorder="1" applyAlignment="1" applyProtection="1">
      <alignment horizontal="center" vertical="center" wrapText="1"/>
      <protection hidden="1"/>
    </xf>
    <xf numFmtId="0" fontId="28" fillId="15" borderId="1" xfId="0" applyFont="1" applyFill="1" applyBorder="1" applyAlignment="1" applyProtection="1">
      <alignment vertical="center" wrapText="1"/>
      <protection hidden="1"/>
    </xf>
    <xf numFmtId="0" fontId="3" fillId="15" borderId="176" xfId="0" applyFont="1" applyFill="1" applyBorder="1" applyAlignment="1" applyProtection="1">
      <alignment horizontal="center" vertical="center" wrapText="1"/>
      <protection hidden="1"/>
    </xf>
    <xf numFmtId="0" fontId="3" fillId="15" borderId="76" xfId="0" applyFont="1" applyFill="1" applyBorder="1" applyAlignment="1" applyProtection="1">
      <alignment horizontal="left" vertical="center"/>
      <protection hidden="1"/>
    </xf>
    <xf numFmtId="0" fontId="3" fillId="15" borderId="1" xfId="0" applyFont="1" applyFill="1" applyBorder="1" applyAlignment="1" applyProtection="1">
      <alignment horizontal="center" vertical="center"/>
      <protection hidden="1"/>
    </xf>
    <xf numFmtId="0" fontId="28" fillId="15" borderId="24" xfId="0" applyFont="1" applyFill="1" applyBorder="1" applyAlignment="1" applyProtection="1">
      <alignment horizontal="center" vertical="center"/>
      <protection hidden="1"/>
    </xf>
    <xf numFmtId="0" fontId="28" fillId="15" borderId="18" xfId="0" applyFont="1" applyFill="1" applyBorder="1" applyAlignment="1" applyProtection="1">
      <alignment horizontal="center" vertical="center"/>
      <protection hidden="1"/>
    </xf>
    <xf numFmtId="10" fontId="3" fillId="15" borderId="0" xfId="3" applyNumberFormat="1" applyFont="1" applyFill="1" applyProtection="1">
      <protection hidden="1"/>
    </xf>
    <xf numFmtId="0" fontId="3" fillId="15" borderId="0" xfId="0" applyFont="1" applyFill="1" applyAlignment="1" applyProtection="1">
      <alignment horizontal="right"/>
      <protection hidden="1"/>
    </xf>
    <xf numFmtId="10" fontId="3" fillId="15" borderId="0" xfId="0" applyNumberFormat="1" applyFont="1" applyFill="1" applyProtection="1">
      <protection hidden="1"/>
    </xf>
    <xf numFmtId="4" fontId="48" fillId="5" borderId="0" xfId="0" applyNumberFormat="1" applyFont="1" applyFill="1" applyAlignment="1" applyProtection="1">
      <alignment horizontal="center" vertical="center"/>
    </xf>
    <xf numFmtId="4" fontId="47" fillId="0" borderId="0" xfId="0" applyNumberFormat="1" applyFont="1" applyAlignment="1" applyProtection="1">
      <alignment horizontal="center" vertical="center"/>
      <protection hidden="1"/>
    </xf>
    <xf numFmtId="4" fontId="47" fillId="0" borderId="0" xfId="0" applyNumberFormat="1" applyFont="1" applyAlignment="1" applyProtection="1">
      <alignment horizontal="center" vertical="center"/>
    </xf>
    <xf numFmtId="4" fontId="47" fillId="0" borderId="0" xfId="0" applyNumberFormat="1" applyFont="1" applyBorder="1" applyAlignment="1" applyProtection="1">
      <alignment horizontal="center" vertical="center"/>
    </xf>
    <xf numFmtId="4" fontId="48" fillId="0" borderId="0" xfId="0" applyNumberFormat="1" applyFont="1" applyAlignment="1" applyProtection="1">
      <alignment horizontal="center" vertical="center"/>
    </xf>
    <xf numFmtId="4" fontId="50" fillId="0" borderId="0" xfId="0" applyNumberFormat="1" applyFont="1" applyAlignment="1" applyProtection="1">
      <alignment horizontal="center" vertical="center"/>
    </xf>
    <xf numFmtId="4" fontId="48" fillId="15" borderId="149" xfId="0" applyNumberFormat="1" applyFont="1" applyFill="1" applyBorder="1" applyAlignment="1" applyProtection="1">
      <alignment horizontal="center" vertical="center"/>
    </xf>
    <xf numFmtId="2" fontId="7" fillId="0" borderId="0" xfId="0" applyNumberFormat="1" applyFont="1" applyAlignment="1" applyProtection="1">
      <alignment horizontal="center" vertical="center"/>
      <protection hidden="1"/>
    </xf>
    <xf numFmtId="4" fontId="7" fillId="0" borderId="0" xfId="0" applyNumberFormat="1" applyFont="1" applyAlignment="1" applyProtection="1">
      <alignment horizontal="center" vertical="center"/>
      <protection hidden="1"/>
    </xf>
    <xf numFmtId="2" fontId="0" fillId="0" borderId="0" xfId="0" applyNumberFormat="1" applyAlignment="1" applyProtection="1">
      <alignment vertical="center"/>
      <protection hidden="1"/>
    </xf>
    <xf numFmtId="0" fontId="9" fillId="0" borderId="0" xfId="0" applyFont="1" applyAlignment="1" applyProtection="1">
      <alignment horizontal="right"/>
      <protection hidden="1"/>
    </xf>
    <xf numFmtId="0" fontId="28" fillId="11" borderId="70" xfId="0" applyNumberFormat="1" applyFont="1" applyFill="1" applyBorder="1" applyAlignment="1" applyProtection="1">
      <alignment horizontal="center" vertical="center"/>
      <protection hidden="1"/>
    </xf>
    <xf numFmtId="4" fontId="47" fillId="5" borderId="92" xfId="3" applyNumberFormat="1" applyFont="1" applyFill="1" applyBorder="1" applyAlignment="1" applyProtection="1">
      <alignment horizontal="center" vertical="center"/>
    </xf>
    <xf numFmtId="4" fontId="48" fillId="5" borderId="114" xfId="0" applyNumberFormat="1" applyFont="1" applyFill="1" applyBorder="1" applyAlignment="1" applyProtection="1">
      <alignment horizontal="center" vertical="center"/>
    </xf>
    <xf numFmtId="4" fontId="47" fillId="5" borderId="121" xfId="0" applyNumberFormat="1" applyFont="1" applyFill="1" applyBorder="1" applyAlignment="1">
      <alignment horizontal="center" vertical="center"/>
    </xf>
    <xf numFmtId="166" fontId="3" fillId="15" borderId="0" xfId="0" applyNumberFormat="1" applyFont="1" applyFill="1" applyProtection="1">
      <protection hidden="1"/>
    </xf>
    <xf numFmtId="4" fontId="47" fillId="5" borderId="46" xfId="0" applyNumberFormat="1" applyFont="1" applyFill="1" applyBorder="1" applyAlignment="1" applyProtection="1">
      <alignment horizontal="center" vertical="center"/>
    </xf>
    <xf numFmtId="4" fontId="48" fillId="5" borderId="45" xfId="0" applyNumberFormat="1" applyFont="1" applyFill="1" applyBorder="1" applyAlignment="1" applyProtection="1">
      <alignment horizontal="center" vertical="center"/>
    </xf>
    <xf numFmtId="4" fontId="47" fillId="5" borderId="93" xfId="0" applyNumberFormat="1" applyFont="1" applyFill="1" applyBorder="1" applyAlignment="1" applyProtection="1">
      <alignment horizontal="center" vertical="center"/>
    </xf>
    <xf numFmtId="4" fontId="47" fillId="5" borderId="24" xfId="0" applyNumberFormat="1" applyFont="1" applyFill="1" applyBorder="1" applyAlignment="1" applyProtection="1">
      <alignment horizontal="center" vertical="center"/>
    </xf>
    <xf numFmtId="4" fontId="47" fillId="5" borderId="63" xfId="0" applyNumberFormat="1" applyFont="1" applyFill="1" applyBorder="1" applyAlignment="1" applyProtection="1">
      <alignment horizontal="center" vertical="center"/>
    </xf>
    <xf numFmtId="4" fontId="47" fillId="5" borderId="59" xfId="0" applyNumberFormat="1" applyFont="1" applyFill="1" applyBorder="1" applyAlignment="1" applyProtection="1">
      <alignment horizontal="center" vertical="center"/>
    </xf>
    <xf numFmtId="4" fontId="47" fillId="5" borderId="61" xfId="0" applyNumberFormat="1" applyFont="1" applyFill="1" applyBorder="1" applyAlignment="1" applyProtection="1">
      <alignment horizontal="center" vertical="center"/>
    </xf>
    <xf numFmtId="10" fontId="41" fillId="15" borderId="0" xfId="3" applyNumberFormat="1" applyFont="1" applyFill="1" applyProtection="1">
      <protection hidden="1"/>
    </xf>
    <xf numFmtId="2" fontId="47" fillId="5" borderId="93" xfId="0" applyNumberFormat="1" applyFont="1" applyFill="1" applyBorder="1" applyAlignment="1" applyProtection="1">
      <alignment horizontal="center" vertical="center"/>
    </xf>
    <xf numFmtId="2" fontId="47" fillId="5" borderId="92" xfId="0" applyNumberFormat="1" applyFont="1" applyFill="1" applyBorder="1" applyAlignment="1" applyProtection="1">
      <alignment horizontal="center" vertical="center"/>
    </xf>
    <xf numFmtId="169" fontId="47" fillId="5" borderId="5" xfId="1" applyNumberFormat="1" applyFont="1" applyFill="1" applyBorder="1" applyAlignment="1" applyProtection="1">
      <alignment horizontal="center" vertical="center"/>
    </xf>
    <xf numFmtId="169" fontId="47" fillId="5" borderId="26" xfId="1" applyNumberFormat="1" applyFont="1" applyFill="1" applyBorder="1" applyAlignment="1" applyProtection="1">
      <alignment horizontal="center" vertical="center"/>
    </xf>
    <xf numFmtId="169" fontId="51" fillId="5" borderId="5" xfId="1" applyNumberFormat="1" applyFont="1" applyFill="1" applyBorder="1" applyAlignment="1" applyProtection="1">
      <alignment horizontal="center" vertical="center"/>
      <protection hidden="1"/>
    </xf>
    <xf numFmtId="1" fontId="47" fillId="5" borderId="133" xfId="1" applyNumberFormat="1" applyFont="1" applyFill="1" applyBorder="1" applyAlignment="1" applyProtection="1">
      <alignment horizontal="center" vertical="center"/>
      <protection hidden="1"/>
    </xf>
    <xf numFmtId="1" fontId="47" fillId="5" borderId="26" xfId="1" applyNumberFormat="1" applyFont="1" applyFill="1" applyBorder="1" applyAlignment="1" applyProtection="1">
      <alignment horizontal="center" vertical="center"/>
      <protection hidden="1"/>
    </xf>
    <xf numFmtId="10" fontId="3" fillId="0" borderId="0" xfId="3" applyNumberFormat="1" applyFont="1" applyProtection="1">
      <protection hidden="1"/>
    </xf>
    <xf numFmtId="10" fontId="3" fillId="0" borderId="0" xfId="0" applyNumberFormat="1" applyFont="1" applyProtection="1">
      <protection hidden="1"/>
    </xf>
    <xf numFmtId="2" fontId="3" fillId="0" borderId="0" xfId="3" applyNumberFormat="1" applyFont="1" applyProtection="1">
      <protection hidden="1"/>
    </xf>
    <xf numFmtId="168" fontId="3" fillId="15" borderId="1" xfId="0" applyNumberFormat="1" applyFont="1" applyFill="1" applyBorder="1" applyAlignment="1" applyProtection="1">
      <alignment horizontal="center" vertical="center"/>
      <protection hidden="1"/>
    </xf>
    <xf numFmtId="168" fontId="3" fillId="15" borderId="24" xfId="0" applyNumberFormat="1" applyFont="1" applyFill="1" applyBorder="1" applyAlignment="1" applyProtection="1">
      <alignment horizontal="center" vertical="center"/>
      <protection hidden="1"/>
    </xf>
    <xf numFmtId="2" fontId="3" fillId="15" borderId="18" xfId="3" applyNumberFormat="1" applyFont="1" applyFill="1" applyBorder="1" applyAlignment="1" applyProtection="1">
      <alignment horizontal="center" vertical="center"/>
      <protection hidden="1"/>
    </xf>
    <xf numFmtId="2" fontId="3" fillId="15" borderId="1" xfId="3" applyNumberFormat="1" applyFont="1" applyFill="1" applyBorder="1" applyAlignment="1" applyProtection="1">
      <alignment horizontal="center" vertical="center"/>
      <protection hidden="1"/>
    </xf>
    <xf numFmtId="2" fontId="3" fillId="15" borderId="1" xfId="0" applyNumberFormat="1" applyFont="1" applyFill="1" applyBorder="1" applyAlignment="1" applyProtection="1">
      <alignment horizontal="center" vertical="center"/>
      <protection hidden="1"/>
    </xf>
    <xf numFmtId="2" fontId="4" fillId="15" borderId="1" xfId="3" applyNumberFormat="1" applyFont="1" applyFill="1" applyBorder="1" applyAlignment="1" applyProtection="1">
      <alignment horizontal="center" vertical="center"/>
      <protection hidden="1"/>
    </xf>
    <xf numFmtId="10" fontId="3" fillId="15" borderId="0" xfId="3" applyNumberFormat="1" applyFont="1" applyFill="1" applyBorder="1" applyProtection="1">
      <protection hidden="1"/>
    </xf>
    <xf numFmtId="2" fontId="3" fillId="15" borderId="0" xfId="3" applyNumberFormat="1" applyFont="1" applyFill="1" applyProtection="1">
      <protection hidden="1"/>
    </xf>
    <xf numFmtId="2" fontId="3" fillId="15" borderId="24" xfId="0" applyNumberFormat="1" applyFont="1" applyFill="1" applyBorder="1" applyAlignment="1" applyProtection="1">
      <alignment horizontal="center" vertical="center"/>
      <protection hidden="1"/>
    </xf>
    <xf numFmtId="2" fontId="26" fillId="15" borderId="1" xfId="0" applyNumberFormat="1" applyFont="1" applyFill="1" applyBorder="1" applyAlignment="1" applyProtection="1">
      <alignment horizontal="center" vertical="center"/>
      <protection hidden="1"/>
    </xf>
    <xf numFmtId="2" fontId="4" fillId="15" borderId="18" xfId="3" applyNumberFormat="1" applyFont="1" applyFill="1" applyBorder="1" applyAlignment="1" applyProtection="1">
      <alignment horizontal="center" vertical="center"/>
      <protection hidden="1"/>
    </xf>
    <xf numFmtId="2" fontId="25" fillId="15" borderId="1" xfId="0" applyNumberFormat="1" applyFont="1" applyFill="1" applyBorder="1" applyAlignment="1" applyProtection="1">
      <alignment horizontal="center" vertical="center"/>
      <protection hidden="1"/>
    </xf>
    <xf numFmtId="168" fontId="3" fillId="15" borderId="0" xfId="0" applyNumberFormat="1" applyFont="1" applyFill="1" applyProtection="1">
      <protection hidden="1"/>
    </xf>
    <xf numFmtId="2" fontId="53" fillId="15" borderId="0" xfId="3" applyNumberFormat="1" applyFont="1" applyFill="1" applyProtection="1">
      <protection hidden="1"/>
    </xf>
    <xf numFmtId="168" fontId="85" fillId="15" borderId="0" xfId="0" applyNumberFormat="1" applyFont="1" applyFill="1" applyProtection="1">
      <protection hidden="1"/>
    </xf>
    <xf numFmtId="14" fontId="28" fillId="3" borderId="1" xfId="0" applyNumberFormat="1" applyFont="1" applyFill="1" applyBorder="1" applyAlignment="1" applyProtection="1">
      <alignment horizontal="center" vertical="center" wrapText="1"/>
      <protection hidden="1"/>
    </xf>
    <xf numFmtId="2" fontId="3" fillId="0" borderId="1" xfId="3" applyNumberFormat="1" applyFont="1" applyBorder="1" applyAlignment="1" applyProtection="1">
      <alignment vertical="center"/>
      <protection hidden="1"/>
    </xf>
    <xf numFmtId="2" fontId="28" fillId="15" borderId="1" xfId="0" applyNumberFormat="1" applyFont="1" applyFill="1" applyBorder="1" applyAlignment="1" applyProtection="1">
      <alignment horizontal="center" vertical="center"/>
      <protection hidden="1"/>
    </xf>
    <xf numFmtId="2" fontId="33" fillId="15" borderId="47" xfId="0" applyNumberFormat="1" applyFont="1" applyFill="1" applyBorder="1" applyAlignment="1" applyProtection="1">
      <alignment horizontal="center" vertical="center"/>
      <protection hidden="1"/>
    </xf>
    <xf numFmtId="168" fontId="46" fillId="15" borderId="47" xfId="0" applyNumberFormat="1" applyFont="1" applyFill="1" applyBorder="1" applyAlignment="1" applyProtection="1">
      <alignment horizontal="center" vertical="center"/>
      <protection hidden="1"/>
    </xf>
    <xf numFmtId="2" fontId="33" fillId="12" borderId="47" xfId="0" applyNumberFormat="1" applyFont="1" applyFill="1" applyBorder="1" applyAlignment="1" applyProtection="1">
      <alignment horizontal="center" vertical="center"/>
      <protection hidden="1"/>
    </xf>
    <xf numFmtId="2" fontId="33" fillId="4" borderId="47" xfId="0" applyNumberFormat="1" applyFont="1" applyFill="1" applyBorder="1" applyAlignment="1" applyProtection="1">
      <alignment horizontal="center" vertical="center"/>
      <protection hidden="1"/>
    </xf>
    <xf numFmtId="0" fontId="7" fillId="15" borderId="0" xfId="0" applyFont="1" applyFill="1" applyAlignment="1" applyProtection="1">
      <alignment horizontal="left" vertical="center"/>
      <protection hidden="1"/>
    </xf>
    <xf numFmtId="0" fontId="7" fillId="0" borderId="0" xfId="0" applyFont="1" applyAlignment="1" applyProtection="1">
      <alignment horizontal="left" vertical="center"/>
      <protection hidden="1"/>
    </xf>
    <xf numFmtId="0" fontId="9" fillId="5" borderId="50" xfId="0" applyFont="1" applyFill="1" applyBorder="1" applyAlignment="1" applyProtection="1">
      <protection hidden="1"/>
    </xf>
    <xf numFmtId="0" fontId="7" fillId="0" borderId="0" xfId="0" applyFont="1" applyAlignment="1" applyProtection="1">
      <protection hidden="1"/>
    </xf>
    <xf numFmtId="2" fontId="3" fillId="15" borderId="14" xfId="0" applyNumberFormat="1" applyFont="1" applyFill="1" applyBorder="1" applyAlignment="1" applyProtection="1">
      <alignment horizontal="center" vertical="center"/>
      <protection hidden="1"/>
    </xf>
    <xf numFmtId="2" fontId="3" fillId="15" borderId="38" xfId="0" applyNumberFormat="1" applyFont="1" applyFill="1" applyBorder="1" applyAlignment="1" applyProtection="1">
      <alignment horizontal="center" vertical="center"/>
      <protection hidden="1"/>
    </xf>
    <xf numFmtId="2" fontId="41" fillId="15" borderId="1" xfId="0" applyNumberFormat="1" applyFont="1" applyFill="1" applyBorder="1" applyAlignment="1" applyProtection="1">
      <alignment horizontal="center" vertical="center"/>
      <protection hidden="1"/>
    </xf>
    <xf numFmtId="2" fontId="3" fillId="15" borderId="56" xfId="0" applyNumberFormat="1" applyFont="1" applyFill="1" applyBorder="1" applyAlignment="1" applyProtection="1">
      <alignment horizontal="center" vertical="center"/>
      <protection hidden="1"/>
    </xf>
    <xf numFmtId="2" fontId="3" fillId="15" borderId="123" xfId="0" applyNumberFormat="1" applyFont="1" applyFill="1" applyBorder="1" applyAlignment="1" applyProtection="1">
      <alignment horizontal="center" vertical="center"/>
      <protection hidden="1"/>
    </xf>
    <xf numFmtId="2" fontId="41" fillId="15" borderId="24" xfId="0" applyNumberFormat="1" applyFont="1" applyFill="1" applyBorder="1" applyAlignment="1" applyProtection="1">
      <alignment horizontal="center" vertical="center"/>
      <protection hidden="1"/>
    </xf>
    <xf numFmtId="2" fontId="3" fillId="15" borderId="4" xfId="0" applyNumberFormat="1" applyFont="1" applyFill="1" applyBorder="1" applyAlignment="1" applyProtection="1">
      <alignment horizontal="center" vertical="center"/>
      <protection hidden="1"/>
    </xf>
    <xf numFmtId="2" fontId="41" fillId="15" borderId="4" xfId="0" applyNumberFormat="1" applyFont="1" applyFill="1" applyBorder="1" applyAlignment="1" applyProtection="1">
      <alignment horizontal="center" vertical="center"/>
      <protection hidden="1"/>
    </xf>
    <xf numFmtId="2" fontId="3" fillId="15" borderId="52" xfId="0" applyNumberFormat="1" applyFont="1" applyFill="1" applyBorder="1" applyAlignment="1" applyProtection="1">
      <alignment horizontal="center" vertical="center"/>
      <protection hidden="1"/>
    </xf>
    <xf numFmtId="2" fontId="3" fillId="15" borderId="187" xfId="0" applyNumberFormat="1" applyFont="1" applyFill="1" applyBorder="1" applyAlignment="1" applyProtection="1">
      <alignment horizontal="center" vertical="center"/>
      <protection hidden="1"/>
    </xf>
    <xf numFmtId="2" fontId="3" fillId="15" borderId="124" xfId="0" applyNumberFormat="1" applyFont="1" applyFill="1" applyBorder="1" applyAlignment="1" applyProtection="1">
      <alignment horizontal="center" vertical="center"/>
      <protection hidden="1"/>
    </xf>
    <xf numFmtId="2" fontId="3" fillId="15" borderId="18" xfId="0" applyNumberFormat="1" applyFont="1" applyFill="1" applyBorder="1" applyAlignment="1" applyProtection="1">
      <alignment horizontal="center" vertical="center"/>
      <protection hidden="1"/>
    </xf>
    <xf numFmtId="2" fontId="41" fillId="15" borderId="18" xfId="0" applyNumberFormat="1" applyFont="1" applyFill="1" applyBorder="1" applyAlignment="1" applyProtection="1">
      <alignment horizontal="center" vertical="center"/>
      <protection hidden="1"/>
    </xf>
    <xf numFmtId="2" fontId="4" fillId="15" borderId="115" xfId="3" applyNumberFormat="1" applyFont="1" applyFill="1" applyBorder="1" applyAlignment="1" applyProtection="1">
      <alignment horizontal="center" vertical="center"/>
      <protection hidden="1"/>
    </xf>
    <xf numFmtId="2" fontId="4" fillId="15" borderId="41" xfId="3" applyNumberFormat="1" applyFont="1" applyFill="1" applyBorder="1" applyAlignment="1" applyProtection="1">
      <alignment horizontal="center" vertical="center"/>
      <protection hidden="1"/>
    </xf>
    <xf numFmtId="2" fontId="4" fillId="15" borderId="56" xfId="3" applyNumberFormat="1" applyFont="1" applyFill="1" applyBorder="1" applyAlignment="1" applyProtection="1">
      <alignment horizontal="center" vertical="center"/>
      <protection hidden="1"/>
    </xf>
    <xf numFmtId="2" fontId="3" fillId="15" borderId="41" xfId="3" applyNumberFormat="1" applyFont="1" applyFill="1" applyBorder="1" applyAlignment="1" applyProtection="1">
      <alignment horizontal="center" vertical="center"/>
      <protection hidden="1"/>
    </xf>
    <xf numFmtId="2" fontId="3" fillId="15" borderId="56" xfId="3" applyNumberFormat="1" applyFont="1" applyFill="1" applyBorder="1" applyAlignment="1" applyProtection="1">
      <alignment horizontal="center" vertical="center"/>
      <protection hidden="1"/>
    </xf>
    <xf numFmtId="2" fontId="3" fillId="15" borderId="121" xfId="0" applyNumberFormat="1" applyFont="1" applyFill="1" applyBorder="1" applyAlignment="1" applyProtection="1">
      <alignment horizontal="center" vertical="center"/>
      <protection hidden="1"/>
    </xf>
    <xf numFmtId="2" fontId="25" fillId="15" borderId="4" xfId="0" applyNumberFormat="1" applyFont="1" applyFill="1" applyBorder="1" applyAlignment="1" applyProtection="1">
      <alignment horizontal="center" vertical="center"/>
      <protection hidden="1"/>
    </xf>
    <xf numFmtId="2" fontId="25" fillId="15" borderId="45" xfId="0" applyNumberFormat="1" applyFont="1" applyFill="1" applyBorder="1" applyAlignment="1" applyProtection="1">
      <alignment horizontal="center" vertical="center"/>
      <protection hidden="1"/>
    </xf>
    <xf numFmtId="2" fontId="25" fillId="15" borderId="70" xfId="0" applyNumberFormat="1" applyFont="1" applyFill="1" applyBorder="1" applyAlignment="1" applyProtection="1">
      <alignment horizontal="center" vertical="center"/>
      <protection hidden="1"/>
    </xf>
    <xf numFmtId="2" fontId="3" fillId="15" borderId="23" xfId="0" applyNumberFormat="1" applyFont="1" applyFill="1" applyBorder="1" applyAlignment="1" applyProtection="1">
      <alignment horizontal="center" vertical="center"/>
      <protection hidden="1"/>
    </xf>
    <xf numFmtId="2" fontId="3" fillId="15" borderId="2" xfId="0" applyNumberFormat="1" applyFont="1" applyFill="1" applyBorder="1" applyAlignment="1" applyProtection="1">
      <alignment horizontal="center" vertical="center"/>
      <protection hidden="1"/>
    </xf>
    <xf numFmtId="2" fontId="41" fillId="15" borderId="38" xfId="0" applyNumberFormat="1" applyFont="1" applyFill="1" applyBorder="1" applyAlignment="1" applyProtection="1">
      <alignment horizontal="center" vertical="center"/>
      <protection hidden="1"/>
    </xf>
    <xf numFmtId="2" fontId="3" fillId="15" borderId="27" xfId="0" applyNumberFormat="1" applyFont="1" applyFill="1" applyBorder="1" applyAlignment="1" applyProtection="1">
      <alignment horizontal="center" vertical="center"/>
      <protection hidden="1"/>
    </xf>
    <xf numFmtId="2" fontId="41" fillId="15" borderId="123" xfId="0" applyNumberFormat="1" applyFont="1" applyFill="1" applyBorder="1" applyAlignment="1" applyProtection="1">
      <alignment horizontal="center" vertical="center"/>
      <protection hidden="1"/>
    </xf>
    <xf numFmtId="2" fontId="3" fillId="15" borderId="17" xfId="0" applyNumberFormat="1" applyFont="1" applyFill="1" applyBorder="1" applyAlignment="1" applyProtection="1">
      <alignment horizontal="center" vertical="center"/>
      <protection hidden="1"/>
    </xf>
    <xf numFmtId="2" fontId="3" fillId="15" borderId="3" xfId="0" applyNumberFormat="1" applyFont="1" applyFill="1" applyBorder="1" applyAlignment="1" applyProtection="1">
      <alignment horizontal="center" vertical="center"/>
      <protection hidden="1"/>
    </xf>
    <xf numFmtId="0" fontId="26" fillId="15" borderId="0" xfId="0" applyFont="1" applyFill="1" applyBorder="1" applyAlignment="1" applyProtection="1">
      <alignment horizontal="center" vertical="center"/>
      <protection hidden="1"/>
    </xf>
    <xf numFmtId="2" fontId="26" fillId="15" borderId="79" xfId="0" applyNumberFormat="1" applyFont="1" applyFill="1" applyBorder="1" applyAlignment="1" applyProtection="1">
      <alignment horizontal="center" vertical="center"/>
      <protection hidden="1"/>
    </xf>
    <xf numFmtId="2" fontId="53" fillId="15" borderId="0" xfId="3" applyNumberFormat="1" applyFont="1" applyFill="1" applyAlignment="1" applyProtection="1">
      <alignment horizontal="center" vertical="center"/>
      <protection hidden="1"/>
    </xf>
    <xf numFmtId="2" fontId="3" fillId="15" borderId="0" xfId="3" applyNumberFormat="1" applyFont="1" applyFill="1" applyAlignment="1" applyProtection="1">
      <alignment horizontal="center" vertical="center"/>
      <protection hidden="1"/>
    </xf>
    <xf numFmtId="10" fontId="54" fillId="15" borderId="0" xfId="0" applyNumberFormat="1" applyFont="1" applyFill="1" applyBorder="1" applyAlignment="1" applyProtection="1">
      <alignment horizontal="center" vertical="center"/>
      <protection hidden="1"/>
    </xf>
    <xf numFmtId="10" fontId="54" fillId="15" borderId="0" xfId="3" applyNumberFormat="1" applyFont="1" applyFill="1" applyBorder="1" applyAlignment="1" applyProtection="1">
      <alignment horizontal="center" vertical="center"/>
      <protection hidden="1"/>
    </xf>
    <xf numFmtId="0" fontId="0" fillId="0" borderId="0" xfId="0" applyAlignment="1" applyProtection="1">
      <alignment horizontal="right"/>
      <protection hidden="1"/>
    </xf>
    <xf numFmtId="2" fontId="4" fillId="26" borderId="1" xfId="3" applyNumberFormat="1" applyFont="1" applyFill="1" applyBorder="1" applyAlignment="1" applyProtection="1">
      <alignment horizontal="center" vertical="center"/>
      <protection hidden="1"/>
    </xf>
    <xf numFmtId="10" fontId="3" fillId="26" borderId="1" xfId="0" applyNumberFormat="1" applyFont="1" applyFill="1" applyBorder="1" applyAlignment="1" applyProtection="1">
      <alignment horizontal="center" vertical="center"/>
      <protection hidden="1"/>
    </xf>
    <xf numFmtId="2" fontId="3" fillId="15" borderId="101" xfId="0" applyNumberFormat="1" applyFont="1" applyFill="1" applyBorder="1" applyAlignment="1" applyProtection="1">
      <alignment horizontal="right" vertical="center"/>
      <protection hidden="1"/>
    </xf>
    <xf numFmtId="2" fontId="28" fillId="15" borderId="101" xfId="0" applyNumberFormat="1" applyFont="1" applyFill="1" applyBorder="1" applyAlignment="1" applyProtection="1">
      <alignment horizontal="right" vertical="center"/>
      <protection hidden="1"/>
    </xf>
    <xf numFmtId="2" fontId="53" fillId="15" borderId="101" xfId="0" applyNumberFormat="1" applyFont="1" applyFill="1" applyBorder="1" applyAlignment="1" applyProtection="1">
      <alignment horizontal="right" vertical="center"/>
      <protection hidden="1"/>
    </xf>
    <xf numFmtId="2" fontId="3" fillId="15" borderId="0" xfId="0" applyNumberFormat="1" applyFont="1" applyFill="1" applyProtection="1">
      <protection hidden="1"/>
    </xf>
    <xf numFmtId="2" fontId="28" fillId="15" borderId="163" xfId="0" applyNumberFormat="1" applyFont="1" applyFill="1" applyBorder="1" applyAlignment="1" applyProtection="1">
      <alignment horizontal="center" vertical="center" wrapText="1"/>
      <protection hidden="1"/>
    </xf>
    <xf numFmtId="2" fontId="3" fillId="15" borderId="161" xfId="0" applyNumberFormat="1" applyFont="1" applyFill="1" applyBorder="1" applyAlignment="1" applyProtection="1">
      <alignment horizontal="center" vertical="center" wrapText="1"/>
      <protection hidden="1"/>
    </xf>
    <xf numFmtId="2" fontId="28" fillId="15" borderId="181" xfId="0" applyNumberFormat="1" applyFont="1" applyFill="1" applyBorder="1" applyAlignment="1" applyProtection="1">
      <alignment horizontal="center" vertical="center" wrapText="1"/>
      <protection hidden="1"/>
    </xf>
    <xf numFmtId="2" fontId="3" fillId="15" borderId="179" xfId="0" applyNumberFormat="1" applyFont="1" applyFill="1" applyBorder="1" applyAlignment="1" applyProtection="1">
      <alignment horizontal="center" vertical="center" wrapText="1"/>
      <protection hidden="1"/>
    </xf>
    <xf numFmtId="2" fontId="3" fillId="15" borderId="182" xfId="0" applyNumberFormat="1" applyFont="1" applyFill="1" applyBorder="1" applyAlignment="1" applyProtection="1">
      <alignment horizontal="center" vertical="center" wrapText="1"/>
      <protection hidden="1"/>
    </xf>
    <xf numFmtId="0" fontId="28" fillId="15" borderId="1" xfId="0" applyFont="1" applyFill="1" applyBorder="1" applyAlignment="1" applyProtection="1">
      <alignment horizontal="center" vertical="center" wrapText="1"/>
      <protection hidden="1"/>
    </xf>
    <xf numFmtId="2" fontId="44" fillId="15" borderId="1" xfId="1" applyNumberFormat="1" applyFont="1" applyFill="1" applyBorder="1" applyAlignment="1" applyProtection="1">
      <alignment horizontal="right" vertical="center"/>
      <protection locked="0"/>
    </xf>
    <xf numFmtId="2" fontId="49" fillId="3" borderId="1" xfId="1" applyNumberFormat="1" applyFont="1" applyFill="1" applyBorder="1" applyAlignment="1" applyProtection="1">
      <alignment horizontal="right" vertical="center"/>
      <protection locked="0"/>
    </xf>
    <xf numFmtId="2" fontId="49" fillId="3" borderId="1" xfId="3" applyNumberFormat="1" applyFont="1" applyFill="1" applyBorder="1" applyAlignment="1" applyProtection="1">
      <alignment horizontal="right" vertical="center"/>
      <protection locked="0"/>
    </xf>
    <xf numFmtId="43" fontId="90" fillId="16" borderId="1" xfId="1" applyNumberFormat="1" applyFont="1" applyFill="1" applyBorder="1" applyAlignment="1" applyProtection="1">
      <alignment horizontal="right" vertical="center"/>
      <protection locked="0"/>
    </xf>
    <xf numFmtId="43" fontId="29" fillId="0" borderId="0" xfId="0" applyNumberFormat="1" applyFont="1" applyAlignment="1">
      <alignment horizontal="center" vertical="center"/>
    </xf>
    <xf numFmtId="37" fontId="48" fillId="3" borderId="2" xfId="1" applyNumberFormat="1" applyFont="1" applyFill="1" applyBorder="1" applyAlignment="1" applyProtection="1">
      <alignment horizontal="right" vertical="center"/>
      <protection locked="0"/>
    </xf>
    <xf numFmtId="43" fontId="47" fillId="5" borderId="161" xfId="1" applyNumberFormat="1" applyFont="1" applyFill="1" applyBorder="1" applyAlignment="1" applyProtection="1">
      <alignment horizontal="right" vertical="center"/>
      <protection locked="0"/>
    </xf>
    <xf numFmtId="2" fontId="47" fillId="15" borderId="2" xfId="1" applyNumberFormat="1" applyFont="1" applyFill="1" applyBorder="1" applyAlignment="1" applyProtection="1">
      <alignment horizontal="right" vertical="center"/>
      <protection locked="0"/>
    </xf>
    <xf numFmtId="39" fontId="48" fillId="3" borderId="2" xfId="1" applyNumberFormat="1" applyFont="1" applyFill="1" applyBorder="1" applyAlignment="1" applyProtection="1">
      <alignment horizontal="right" vertical="center"/>
      <protection locked="0"/>
    </xf>
    <xf numFmtId="2" fontId="91" fillId="15" borderId="1" xfId="0" applyNumberFormat="1" applyFont="1" applyFill="1" applyBorder="1" applyAlignment="1" applyProtection="1">
      <alignment horizontal="center" vertical="center"/>
      <protection hidden="1"/>
    </xf>
    <xf numFmtId="169" fontId="29" fillId="5" borderId="0" xfId="1" applyNumberFormat="1" applyFont="1" applyFill="1"/>
    <xf numFmtId="169" fontId="46" fillId="17" borderId="0" xfId="1" applyNumberFormat="1" applyFont="1" applyFill="1" applyBorder="1" applyAlignment="1" applyProtection="1">
      <alignment horizontal="center" vertical="center"/>
    </xf>
    <xf numFmtId="169" fontId="10" fillId="16" borderId="1" xfId="1" applyNumberFormat="1" applyFont="1" applyFill="1" applyBorder="1" applyAlignment="1" applyProtection="1">
      <alignment horizontal="left" vertical="center"/>
      <protection locked="0"/>
    </xf>
    <xf numFmtId="169" fontId="0" fillId="5" borderId="1" xfId="1" applyNumberFormat="1" applyFont="1" applyFill="1" applyBorder="1" applyAlignment="1" applyProtection="1">
      <alignment horizontal="left" vertical="center" wrapText="1"/>
      <protection locked="0"/>
    </xf>
    <xf numFmtId="169" fontId="43" fillId="5" borderId="1" xfId="1" applyNumberFormat="1" applyFont="1" applyFill="1" applyBorder="1" applyAlignment="1" applyProtection="1">
      <alignment horizontal="right" vertical="center" wrapText="1"/>
      <protection locked="0"/>
    </xf>
    <xf numFmtId="169" fontId="7" fillId="5" borderId="1" xfId="1" applyNumberFormat="1" applyFont="1" applyFill="1" applyBorder="1" applyAlignment="1" applyProtection="1">
      <alignment horizontal="left" vertical="center" wrapText="1"/>
      <protection locked="0"/>
    </xf>
    <xf numFmtId="169" fontId="10" fillId="3" borderId="1" xfId="1" applyNumberFormat="1" applyFont="1" applyFill="1" applyBorder="1" applyAlignment="1" applyProtection="1">
      <alignment horizontal="left" vertical="center"/>
      <protection locked="0"/>
    </xf>
    <xf numFmtId="169" fontId="71" fillId="5" borderId="1" xfId="1" applyNumberFormat="1" applyFont="1" applyFill="1" applyBorder="1" applyAlignment="1" applyProtection="1">
      <alignment horizontal="right" vertical="center" wrapText="1"/>
      <protection locked="0"/>
    </xf>
    <xf numFmtId="169" fontId="0" fillId="5" borderId="1" xfId="1" applyNumberFormat="1" applyFont="1" applyFill="1" applyBorder="1" applyAlignment="1" applyProtection="1">
      <alignment horizontal="right" vertical="center" wrapText="1"/>
      <protection locked="0"/>
    </xf>
    <xf numFmtId="169" fontId="7" fillId="5" borderId="1" xfId="1" applyNumberFormat="1" applyFont="1" applyFill="1" applyBorder="1" applyAlignment="1" applyProtection="1">
      <alignment horizontal="right" vertical="center" wrapText="1"/>
      <protection hidden="1"/>
    </xf>
    <xf numFmtId="169" fontId="80" fillId="5" borderId="1" xfId="1" applyNumberFormat="1" applyFont="1" applyFill="1" applyBorder="1" applyAlignment="1" applyProtection="1">
      <alignment horizontal="right" vertical="center" wrapText="1"/>
      <protection locked="0"/>
    </xf>
    <xf numFmtId="169" fontId="43" fillId="5" borderId="24" xfId="1" applyNumberFormat="1" applyFont="1" applyFill="1" applyBorder="1" applyAlignment="1" applyProtection="1">
      <alignment horizontal="right" vertical="center" wrapText="1"/>
      <protection locked="0"/>
    </xf>
    <xf numFmtId="169" fontId="29" fillId="23" borderId="1" xfId="1" applyNumberFormat="1" applyFont="1" applyFill="1" applyBorder="1" applyAlignment="1" applyProtection="1">
      <alignment horizontal="left" vertical="center" wrapText="1"/>
      <protection locked="0"/>
    </xf>
    <xf numFmtId="169" fontId="70" fillId="5" borderId="1" xfId="1" applyNumberFormat="1" applyFont="1" applyFill="1" applyBorder="1" applyAlignment="1" applyProtection="1">
      <alignment horizontal="left" vertical="center"/>
      <protection locked="0"/>
    </xf>
    <xf numFmtId="169" fontId="44" fillId="5" borderId="1" xfId="1" applyNumberFormat="1" applyFont="1" applyFill="1" applyBorder="1" applyAlignment="1" applyProtection="1">
      <alignment horizontal="right" vertical="center" wrapText="1"/>
      <protection locked="0"/>
    </xf>
    <xf numFmtId="169" fontId="29" fillId="5" borderId="1" xfId="1" applyNumberFormat="1" applyFont="1" applyFill="1" applyBorder="1" applyAlignment="1" applyProtection="1">
      <alignment horizontal="left" vertical="center" wrapText="1"/>
      <protection locked="0"/>
    </xf>
    <xf numFmtId="169" fontId="29" fillId="15" borderId="0" xfId="1" applyNumberFormat="1" applyFont="1" applyFill="1" applyBorder="1" applyAlignment="1" applyProtection="1">
      <alignment horizontal="left" vertical="center" wrapText="1"/>
      <protection locked="0"/>
    </xf>
    <xf numFmtId="169" fontId="29" fillId="0" borderId="0" xfId="1" applyNumberFormat="1" applyFont="1"/>
    <xf numFmtId="169" fontId="71" fillId="5" borderId="1" xfId="1" applyNumberFormat="1" applyFont="1" applyFill="1" applyBorder="1" applyAlignment="1" applyProtection="1">
      <alignment horizontal="left" vertical="center" wrapText="1"/>
      <protection locked="0"/>
    </xf>
    <xf numFmtId="2" fontId="31" fillId="0" borderId="56" xfId="0" applyNumberFormat="1" applyFont="1" applyBorder="1" applyAlignment="1">
      <alignment horizontal="center" vertical="center" wrapText="1"/>
    </xf>
    <xf numFmtId="2" fontId="33" fillId="0" borderId="70" xfId="0" applyNumberFormat="1" applyFont="1" applyBorder="1" applyAlignment="1">
      <alignment horizontal="center" vertical="center" wrapText="1"/>
    </xf>
    <xf numFmtId="0" fontId="9" fillId="5" borderId="198" xfId="0" applyFont="1" applyFill="1" applyBorder="1" applyAlignment="1" applyProtection="1">
      <alignment horizontal="center" vertical="center" wrapText="1"/>
      <protection hidden="1"/>
    </xf>
    <xf numFmtId="0" fontId="31" fillId="0" borderId="2" xfId="0" applyFont="1" applyBorder="1" applyAlignment="1">
      <alignment vertical="center" wrapText="1"/>
    </xf>
    <xf numFmtId="2" fontId="3" fillId="15" borderId="0" xfId="3" applyNumberFormat="1" applyFont="1" applyFill="1" applyBorder="1" applyAlignment="1" applyProtection="1">
      <alignment horizontal="center" vertical="center"/>
      <protection hidden="1"/>
    </xf>
    <xf numFmtId="2" fontId="3" fillId="15" borderId="0" xfId="0" applyNumberFormat="1" applyFont="1" applyFill="1" applyAlignment="1" applyProtection="1">
      <alignment horizontal="center" vertical="center"/>
      <protection hidden="1"/>
    </xf>
    <xf numFmtId="168" fontId="3" fillId="15" borderId="0" xfId="3" applyNumberFormat="1" applyFont="1" applyFill="1" applyAlignment="1" applyProtection="1">
      <alignment horizontal="center" vertical="center"/>
      <protection hidden="1"/>
    </xf>
    <xf numFmtId="168" fontId="3" fillId="15" borderId="0" xfId="0" applyNumberFormat="1" applyFont="1" applyFill="1" applyAlignment="1" applyProtection="1">
      <alignment horizontal="center" vertical="center"/>
      <protection hidden="1"/>
    </xf>
    <xf numFmtId="0" fontId="3" fillId="0" borderId="34" xfId="0" applyFont="1" applyBorder="1" applyAlignment="1">
      <alignment horizontal="center" vertical="center" wrapText="1"/>
    </xf>
    <xf numFmtId="0" fontId="3" fillId="0" borderId="6" xfId="0" applyFont="1" applyBorder="1" applyAlignment="1">
      <alignment horizontal="center" vertical="center" wrapText="1"/>
    </xf>
    <xf numFmtId="2" fontId="0" fillId="0" borderId="0" xfId="0" applyNumberFormat="1" applyAlignment="1" applyProtection="1">
      <alignment horizontal="center" vertical="center"/>
      <protection hidden="1"/>
    </xf>
    <xf numFmtId="0" fontId="59" fillId="5" borderId="24" xfId="0" applyFont="1" applyFill="1" applyBorder="1" applyAlignment="1">
      <alignment horizontal="center" vertical="center" wrapText="1"/>
    </xf>
    <xf numFmtId="0" fontId="59" fillId="5" borderId="19" xfId="0" applyFont="1" applyFill="1" applyBorder="1" applyAlignment="1">
      <alignment horizontal="center" vertical="center" wrapText="1"/>
    </xf>
    <xf numFmtId="0" fontId="59" fillId="5" borderId="6" xfId="0" applyFont="1" applyFill="1" applyBorder="1" applyAlignment="1">
      <alignment horizontal="center" vertical="center" wrapText="1"/>
    </xf>
    <xf numFmtId="0" fontId="59" fillId="5" borderId="1" xfId="0" applyFont="1" applyFill="1" applyBorder="1" applyAlignment="1" applyProtection="1">
      <alignment horizontal="center" vertical="center" wrapText="1"/>
    </xf>
    <xf numFmtId="0" fontId="32" fillId="5" borderId="1" xfId="0" applyFont="1" applyFill="1" applyBorder="1" applyAlignment="1">
      <alignment horizontal="center" vertical="center"/>
    </xf>
    <xf numFmtId="0" fontId="59" fillId="5" borderId="2" xfId="0" applyFont="1" applyFill="1" applyBorder="1" applyAlignment="1" applyProtection="1">
      <alignment horizontal="center" vertical="center" wrapText="1"/>
    </xf>
    <xf numFmtId="0" fontId="59" fillId="5" borderId="1" xfId="0" applyFont="1" applyFill="1" applyBorder="1" applyAlignment="1" applyProtection="1">
      <alignment horizontal="center" vertical="center" wrapText="1"/>
    </xf>
    <xf numFmtId="0" fontId="59" fillId="5" borderId="2" xfId="0" applyFont="1" applyFill="1" applyBorder="1" applyAlignment="1" applyProtection="1">
      <alignment horizontal="center" vertical="center" wrapText="1"/>
    </xf>
    <xf numFmtId="0" fontId="29" fillId="16" borderId="38"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29" fillId="23" borderId="38" xfId="0" applyFont="1" applyFill="1" applyBorder="1" applyAlignment="1" applyProtection="1">
      <alignment horizontal="left" vertical="center" wrapText="1"/>
      <protection locked="0"/>
    </xf>
    <xf numFmtId="0" fontId="20" fillId="16" borderId="38" xfId="0" applyFont="1" applyFill="1" applyBorder="1" applyAlignment="1" applyProtection="1">
      <alignment horizontal="left" vertical="center" wrapText="1"/>
      <protection locked="0"/>
    </xf>
    <xf numFmtId="0" fontId="20" fillId="3" borderId="38" xfId="0" applyFont="1" applyFill="1" applyBorder="1" applyAlignment="1" applyProtection="1">
      <alignment horizontal="left" vertical="center" wrapText="1"/>
      <protection locked="0"/>
    </xf>
    <xf numFmtId="0" fontId="43" fillId="16" borderId="38" xfId="0" applyFont="1" applyFill="1" applyBorder="1" applyAlignment="1" applyProtection="1">
      <alignment horizontal="right" vertical="center" wrapText="1"/>
      <protection locked="0"/>
    </xf>
    <xf numFmtId="0" fontId="0" fillId="16" borderId="38" xfId="0" applyFont="1" applyFill="1" applyBorder="1" applyAlignment="1" applyProtection="1">
      <alignment horizontal="left" vertical="center" wrapText="1"/>
      <protection locked="0"/>
    </xf>
    <xf numFmtId="0" fontId="29" fillId="16" borderId="121" xfId="0" applyFont="1" applyFill="1" applyBorder="1" applyAlignment="1" applyProtection="1">
      <alignment horizontal="left" vertical="center" wrapText="1"/>
      <protection locked="0"/>
    </xf>
    <xf numFmtId="0" fontId="29" fillId="5" borderId="1" xfId="0" applyFont="1" applyFill="1" applyBorder="1" applyAlignment="1">
      <alignment horizontal="center" vertical="center" wrapText="1"/>
    </xf>
    <xf numFmtId="0" fontId="10" fillId="0" borderId="0" xfId="0" applyFont="1" applyAlignment="1">
      <alignment horizontal="center" vertical="center"/>
    </xf>
    <xf numFmtId="39" fontId="92" fillId="16" borderId="1" xfId="1" applyNumberFormat="1" applyFont="1" applyFill="1" applyBorder="1" applyAlignment="1" applyProtection="1">
      <alignment horizontal="right" vertical="center"/>
      <protection locked="0"/>
    </xf>
    <xf numFmtId="43" fontId="92" fillId="15" borderId="1" xfId="1" applyNumberFormat="1" applyFont="1" applyFill="1" applyBorder="1" applyAlignment="1" applyProtection="1">
      <alignment horizontal="right" vertical="center"/>
      <protection locked="0"/>
    </xf>
    <xf numFmtId="0" fontId="3" fillId="0" borderId="0" xfId="0" applyFont="1" applyAlignment="1" applyProtection="1">
      <alignment horizontal="right" vertical="center"/>
      <protection hidden="1"/>
    </xf>
    <xf numFmtId="0" fontId="3" fillId="0" borderId="0" xfId="0" applyFont="1" applyAlignment="1" applyProtection="1">
      <alignment horizontal="right"/>
      <protection hidden="1"/>
    </xf>
    <xf numFmtId="0" fontId="3" fillId="0" borderId="200" xfId="0" applyFont="1" applyBorder="1" applyProtection="1">
      <protection hidden="1"/>
    </xf>
    <xf numFmtId="0" fontId="3" fillId="0" borderId="200" xfId="0" applyFont="1" applyBorder="1" applyAlignment="1" applyProtection="1">
      <alignment horizontal="center" vertical="center"/>
      <protection hidden="1"/>
    </xf>
    <xf numFmtId="2" fontId="3" fillId="0" borderId="200" xfId="0" applyNumberFormat="1" applyFont="1" applyBorder="1" applyAlignment="1" applyProtection="1">
      <alignment horizontal="center" vertical="center"/>
      <protection hidden="1"/>
    </xf>
    <xf numFmtId="2" fontId="3" fillId="0" borderId="200" xfId="0" applyNumberFormat="1" applyFont="1" applyBorder="1" applyProtection="1">
      <protection hidden="1"/>
    </xf>
    <xf numFmtId="0" fontId="3" fillId="0" borderId="170" xfId="0" applyFont="1" applyBorder="1" applyProtection="1">
      <protection hidden="1"/>
    </xf>
    <xf numFmtId="0" fontId="3" fillId="0" borderId="202" xfId="0" applyFont="1" applyBorder="1" applyProtection="1">
      <protection hidden="1"/>
    </xf>
    <xf numFmtId="0" fontId="3" fillId="0" borderId="201" xfId="0" applyFont="1" applyBorder="1" applyAlignment="1" applyProtection="1">
      <alignment horizontal="right"/>
      <protection hidden="1"/>
    </xf>
    <xf numFmtId="2" fontId="28" fillId="0" borderId="200" xfId="0" applyNumberFormat="1" applyFont="1" applyBorder="1" applyProtection="1">
      <protection hidden="1"/>
    </xf>
    <xf numFmtId="0" fontId="28" fillId="0" borderId="200" xfId="0" applyFont="1" applyBorder="1" applyProtection="1">
      <protection hidden="1"/>
    </xf>
    <xf numFmtId="37" fontId="47" fillId="3" borderId="1" xfId="1" applyNumberFormat="1" applyFont="1" applyFill="1" applyBorder="1" applyAlignment="1" applyProtection="1">
      <alignment horizontal="right" vertical="center"/>
      <protection locked="0"/>
    </xf>
    <xf numFmtId="168" fontId="47" fillId="15" borderId="1" xfId="1" applyNumberFormat="1" applyFont="1" applyFill="1" applyBorder="1" applyAlignment="1" applyProtection="1">
      <alignment horizontal="right" vertical="center"/>
      <protection locked="0"/>
    </xf>
    <xf numFmtId="0" fontId="41" fillId="5" borderId="41" xfId="0" applyFont="1" applyFill="1" applyBorder="1" applyAlignment="1" applyProtection="1">
      <alignment horizontal="right" vertical="center" wrapText="1"/>
      <protection hidden="1"/>
    </xf>
    <xf numFmtId="0" fontId="47" fillId="16" borderId="1" xfId="0" applyFont="1" applyFill="1" applyBorder="1" applyAlignment="1" applyProtection="1">
      <alignment horizontal="left" vertical="center" wrapText="1"/>
      <protection locked="0"/>
    </xf>
    <xf numFmtId="37" fontId="44" fillId="3" borderId="1" xfId="1" applyNumberFormat="1" applyFont="1" applyFill="1" applyBorder="1" applyAlignment="1" applyProtection="1">
      <alignment horizontal="right" vertical="center"/>
      <protection locked="0"/>
    </xf>
    <xf numFmtId="0" fontId="59" fillId="5" borderId="24" xfId="0" applyFont="1" applyFill="1" applyBorder="1" applyAlignment="1">
      <alignment horizontal="center" vertical="center" wrapText="1"/>
    </xf>
    <xf numFmtId="0" fontId="59" fillId="5" borderId="19" xfId="0" applyFont="1" applyFill="1" applyBorder="1" applyAlignment="1">
      <alignment horizontal="center" vertical="center" wrapText="1"/>
    </xf>
    <xf numFmtId="0" fontId="59" fillId="5" borderId="6" xfId="0" applyFont="1" applyFill="1" applyBorder="1" applyAlignment="1">
      <alignment horizontal="center" vertical="center" wrapText="1"/>
    </xf>
    <xf numFmtId="0" fontId="59" fillId="5" borderId="1" xfId="0" applyFont="1" applyFill="1" applyBorder="1" applyAlignment="1" applyProtection="1">
      <alignment horizontal="center" vertical="center" wrapText="1"/>
    </xf>
    <xf numFmtId="0" fontId="32" fillId="5" borderId="1" xfId="0" applyFont="1" applyFill="1" applyBorder="1" applyAlignment="1">
      <alignment horizontal="center" vertical="center"/>
    </xf>
    <xf numFmtId="0" fontId="59" fillId="5" borderId="2" xfId="0" applyFont="1" applyFill="1" applyBorder="1" applyAlignment="1" applyProtection="1">
      <alignment horizontal="center" vertical="center" wrapText="1"/>
    </xf>
    <xf numFmtId="167" fontId="47" fillId="5" borderId="1" xfId="0" applyNumberFormat="1" applyFont="1" applyFill="1" applyBorder="1" applyAlignment="1" applyProtection="1">
      <alignment horizontal="center" vertical="center"/>
      <protection hidden="1"/>
    </xf>
    <xf numFmtId="3" fontId="47" fillId="5" borderId="5" xfId="3" applyNumberFormat="1" applyFont="1" applyFill="1" applyBorder="1" applyAlignment="1" applyProtection="1">
      <alignment horizontal="center" vertical="center"/>
    </xf>
    <xf numFmtId="1" fontId="47" fillId="5" borderId="5" xfId="1" applyNumberFormat="1" applyFont="1" applyFill="1" applyBorder="1" applyAlignment="1" applyProtection="1">
      <alignment horizontal="center" vertical="center"/>
      <protection hidden="1"/>
    </xf>
    <xf numFmtId="43" fontId="47" fillId="5" borderId="1" xfId="1" applyFont="1" applyFill="1" applyBorder="1" applyAlignment="1" applyProtection="1">
      <alignment horizontal="center" vertical="center"/>
    </xf>
    <xf numFmtId="3" fontId="47" fillId="5" borderId="26" xfId="0" applyNumberFormat="1" applyFont="1" applyFill="1" applyBorder="1" applyAlignment="1" applyProtection="1">
      <alignment horizontal="center" vertical="center"/>
      <protection hidden="1"/>
    </xf>
    <xf numFmtId="169" fontId="47" fillId="5" borderId="1" xfId="1" applyNumberFormat="1" applyFont="1" applyFill="1" applyBorder="1" applyAlignment="1" applyProtection="1">
      <alignment horizontal="center" vertical="center"/>
    </xf>
    <xf numFmtId="3" fontId="47" fillId="5" borderId="116" xfId="3" applyNumberFormat="1" applyFont="1" applyFill="1" applyBorder="1" applyAlignment="1" applyProtection="1">
      <alignment horizontal="center" vertical="center"/>
    </xf>
    <xf numFmtId="0" fontId="9" fillId="5" borderId="34" xfId="0" applyFont="1" applyFill="1" applyBorder="1" applyAlignment="1" applyProtection="1">
      <alignment horizontal="center" vertical="center" wrapText="1"/>
      <protection hidden="1"/>
    </xf>
    <xf numFmtId="2" fontId="54" fillId="15" borderId="1" xfId="0" applyNumberFormat="1" applyFont="1" applyFill="1" applyBorder="1" applyAlignment="1" applyProtection="1">
      <alignment horizontal="center" vertical="center"/>
      <protection hidden="1"/>
    </xf>
    <xf numFmtId="0" fontId="7" fillId="5" borderId="26" xfId="0" applyFont="1" applyFill="1" applyBorder="1" applyAlignment="1" applyProtection="1">
      <alignment horizontal="center" vertical="center" wrapText="1"/>
      <protection hidden="1"/>
    </xf>
    <xf numFmtId="0" fontId="7" fillId="5" borderId="133" xfId="0" applyFont="1" applyFill="1" applyBorder="1" applyAlignment="1" applyProtection="1">
      <alignment horizontal="center" vertical="center" wrapText="1"/>
      <protection hidden="1"/>
    </xf>
    <xf numFmtId="0" fontId="7" fillId="5" borderId="5" xfId="0" applyFont="1" applyFill="1" applyBorder="1" applyAlignment="1" applyProtection="1">
      <alignment horizontal="center" vertical="center"/>
      <protection hidden="1"/>
    </xf>
    <xf numFmtId="4" fontId="47" fillId="5" borderId="0" xfId="0" applyNumberFormat="1" applyFont="1" applyFill="1" applyBorder="1" applyAlignment="1" applyProtection="1">
      <alignment horizontal="center"/>
    </xf>
    <xf numFmtId="4" fontId="47" fillId="5" borderId="18" xfId="0" applyNumberFormat="1" applyFont="1" applyFill="1" applyBorder="1" applyAlignment="1" applyProtection="1">
      <alignment horizontal="center" vertical="center"/>
      <protection locked="0"/>
    </xf>
    <xf numFmtId="4" fontId="47" fillId="5" borderId="1" xfId="0" applyNumberFormat="1" applyFont="1" applyFill="1" applyBorder="1" applyAlignment="1" applyProtection="1">
      <alignment horizontal="center" vertical="center"/>
      <protection locked="0"/>
    </xf>
    <xf numFmtId="4" fontId="47" fillId="5" borderId="0" xfId="0" applyNumberFormat="1" applyFont="1" applyFill="1" applyBorder="1" applyProtection="1"/>
    <xf numFmtId="168" fontId="47" fillId="5" borderId="134" xfId="0" applyNumberFormat="1" applyFont="1" applyFill="1" applyBorder="1" applyAlignment="1" applyProtection="1">
      <alignment horizontal="center" vertical="center"/>
    </xf>
    <xf numFmtId="0" fontId="47" fillId="5" borderId="192" xfId="0" applyFont="1" applyFill="1" applyBorder="1" applyAlignment="1" applyProtection="1">
      <alignment horizontal="center"/>
    </xf>
    <xf numFmtId="0" fontId="4" fillId="5" borderId="44" xfId="0" applyFont="1" applyFill="1" applyBorder="1" applyAlignment="1" applyProtection="1">
      <alignment vertical="center" wrapText="1"/>
      <protection hidden="1"/>
    </xf>
    <xf numFmtId="4" fontId="47" fillId="5" borderId="18" xfId="0" applyNumberFormat="1" applyFont="1" applyFill="1" applyBorder="1" applyAlignment="1">
      <alignment horizontal="center" vertical="center"/>
    </xf>
    <xf numFmtId="4" fontId="47" fillId="5" borderId="124" xfId="0" applyNumberFormat="1" applyFont="1" applyFill="1" applyBorder="1" applyAlignment="1" applyProtection="1">
      <alignment horizontal="center" vertical="center"/>
    </xf>
    <xf numFmtId="0" fontId="47" fillId="5" borderId="134" xfId="0" applyFont="1" applyFill="1" applyBorder="1" applyAlignment="1" applyProtection="1">
      <alignment horizontal="center" vertical="center"/>
    </xf>
    <xf numFmtId="4" fontId="47" fillId="5" borderId="1" xfId="0" applyNumberFormat="1" applyFont="1" applyFill="1" applyBorder="1" applyAlignment="1">
      <alignment horizontal="center" vertical="center"/>
    </xf>
    <xf numFmtId="4" fontId="47" fillId="5" borderId="38" xfId="0" applyNumberFormat="1" applyFont="1" applyFill="1" applyBorder="1" applyAlignment="1" applyProtection="1">
      <alignment horizontal="center" vertical="center"/>
    </xf>
    <xf numFmtId="0" fontId="47" fillId="5" borderId="26" xfId="0" applyFont="1" applyFill="1" applyBorder="1" applyAlignment="1" applyProtection="1">
      <alignment horizontal="center" vertical="center"/>
    </xf>
    <xf numFmtId="4" fontId="47" fillId="5" borderId="6" xfId="0" applyNumberFormat="1" applyFont="1" applyFill="1" applyBorder="1" applyAlignment="1" applyProtection="1">
      <alignment horizontal="center" vertical="center"/>
      <protection locked="0"/>
    </xf>
    <xf numFmtId="4" fontId="47" fillId="5" borderId="114" xfId="0" applyNumberFormat="1" applyFont="1" applyFill="1" applyBorder="1" applyAlignment="1" applyProtection="1">
      <alignment horizontal="center"/>
    </xf>
    <xf numFmtId="4" fontId="47" fillId="5" borderId="4" xfId="0" applyNumberFormat="1" applyFont="1" applyFill="1" applyBorder="1" applyAlignment="1">
      <alignment horizontal="center"/>
    </xf>
    <xf numFmtId="4" fontId="47" fillId="5" borderId="6" xfId="0" applyNumberFormat="1" applyFont="1" applyFill="1" applyBorder="1" applyAlignment="1">
      <alignment horizontal="center" vertical="center"/>
    </xf>
    <xf numFmtId="4" fontId="47" fillId="5" borderId="100" xfId="0" applyNumberFormat="1" applyFont="1" applyFill="1" applyBorder="1" applyProtection="1"/>
    <xf numFmtId="0" fontId="47" fillId="5" borderId="100" xfId="0" applyFont="1" applyFill="1" applyBorder="1" applyProtection="1"/>
    <xf numFmtId="4" fontId="47" fillId="5" borderId="1" xfId="1" applyNumberFormat="1" applyFont="1" applyFill="1" applyBorder="1" applyAlignment="1" applyProtection="1">
      <alignment horizontal="center" vertical="center"/>
    </xf>
    <xf numFmtId="4" fontId="47" fillId="5" borderId="1" xfId="1" applyNumberFormat="1" applyFont="1" applyFill="1" applyBorder="1" applyAlignment="1">
      <alignment horizontal="center" vertical="center"/>
    </xf>
    <xf numFmtId="4" fontId="47" fillId="5" borderId="1" xfId="1" applyNumberFormat="1" applyFont="1" applyFill="1" applyBorder="1" applyAlignment="1" applyProtection="1">
      <alignment horizontal="center" vertical="center"/>
      <protection locked="0"/>
    </xf>
    <xf numFmtId="4" fontId="47" fillId="5" borderId="134" xfId="0" applyNumberFormat="1" applyFont="1" applyFill="1" applyBorder="1" applyProtection="1"/>
    <xf numFmtId="0" fontId="47" fillId="5" borderId="134" xfId="0" applyFont="1" applyFill="1" applyBorder="1" applyProtection="1"/>
    <xf numFmtId="4" fontId="47" fillId="5" borderId="26" xfId="0" applyNumberFormat="1" applyFont="1" applyFill="1" applyBorder="1" applyProtection="1"/>
    <xf numFmtId="0" fontId="47" fillId="5" borderId="26" xfId="0" applyFont="1" applyFill="1" applyBorder="1" applyProtection="1"/>
    <xf numFmtId="4" fontId="47" fillId="5" borderId="192" xfId="0" applyNumberFormat="1" applyFont="1" applyFill="1" applyBorder="1" applyAlignment="1" applyProtection="1">
      <alignment horizontal="center"/>
    </xf>
    <xf numFmtId="4" fontId="47" fillId="5" borderId="53" xfId="0" applyNumberFormat="1" applyFont="1" applyFill="1" applyBorder="1" applyAlignment="1" applyProtection="1">
      <alignment horizontal="center"/>
    </xf>
    <xf numFmtId="4" fontId="47" fillId="5" borderId="54" xfId="0" applyNumberFormat="1" applyFont="1" applyFill="1" applyBorder="1" applyAlignment="1">
      <alignment horizontal="center"/>
    </xf>
    <xf numFmtId="4" fontId="47" fillId="5" borderId="54" xfId="0" applyNumberFormat="1" applyFont="1" applyFill="1" applyBorder="1" applyAlignment="1" applyProtection="1">
      <alignment horizontal="center"/>
    </xf>
    <xf numFmtId="4" fontId="47" fillId="5" borderId="61" xfId="0" applyNumberFormat="1" applyFont="1" applyFill="1" applyBorder="1" applyProtection="1"/>
    <xf numFmtId="4" fontId="47" fillId="5" borderId="192" xfId="0" applyNumberFormat="1" applyFont="1" applyFill="1" applyBorder="1" applyProtection="1"/>
    <xf numFmtId="4" fontId="47" fillId="5" borderId="63" xfId="0" applyNumberFormat="1" applyFont="1" applyFill="1" applyBorder="1" applyAlignment="1" applyProtection="1">
      <alignment horizontal="center"/>
    </xf>
    <xf numFmtId="0" fontId="47" fillId="5" borderId="54" xfId="0" applyFont="1" applyFill="1" applyBorder="1" applyAlignment="1" applyProtection="1">
      <alignment horizontal="center"/>
    </xf>
    <xf numFmtId="0" fontId="47" fillId="5" borderId="61" xfId="0" applyFont="1" applyFill="1" applyBorder="1" applyProtection="1"/>
    <xf numFmtId="0" fontId="47" fillId="5" borderId="53" xfId="0" applyFont="1" applyFill="1" applyBorder="1" applyAlignment="1" applyProtection="1">
      <alignment horizontal="center"/>
    </xf>
    <xf numFmtId="0" fontId="9" fillId="5" borderId="0" xfId="0" applyFont="1" applyFill="1" applyBorder="1" applyAlignment="1" applyProtection="1">
      <alignment horizontal="center"/>
      <protection hidden="1"/>
    </xf>
    <xf numFmtId="0" fontId="9" fillId="5" borderId="48" xfId="0" applyFont="1" applyFill="1" applyBorder="1" applyAlignment="1" applyProtection="1">
      <alignment horizontal="center" wrapText="1"/>
      <protection hidden="1"/>
    </xf>
    <xf numFmtId="0" fontId="9" fillId="5" borderId="0" xfId="0" applyFont="1" applyFill="1" applyBorder="1" applyAlignment="1" applyProtection="1">
      <alignment horizontal="center" vertical="center"/>
      <protection hidden="1"/>
    </xf>
    <xf numFmtId="0" fontId="47" fillId="5" borderId="0" xfId="0" applyFont="1" applyFill="1" applyBorder="1" applyProtection="1">
      <protection hidden="1"/>
    </xf>
    <xf numFmtId="2" fontId="47" fillId="5" borderId="32" xfId="0" applyNumberFormat="1" applyFont="1" applyFill="1" applyBorder="1" applyAlignment="1" applyProtection="1">
      <alignment horizontal="center" vertical="center"/>
      <protection hidden="1"/>
    </xf>
    <xf numFmtId="2" fontId="47" fillId="5" borderId="0" xfId="0" applyNumberFormat="1" applyFont="1" applyFill="1" applyBorder="1" applyProtection="1">
      <protection hidden="1"/>
    </xf>
    <xf numFmtId="2" fontId="47" fillId="5" borderId="0" xfId="0" applyNumberFormat="1" applyFont="1" applyFill="1" applyBorder="1" applyAlignment="1" applyProtection="1">
      <alignment horizontal="center" vertical="center"/>
      <protection hidden="1"/>
    </xf>
    <xf numFmtId="2" fontId="47" fillId="5" borderId="0" xfId="0" applyNumberFormat="1" applyFont="1" applyFill="1" applyBorder="1" applyProtection="1"/>
    <xf numFmtId="2" fontId="84" fillId="5" borderId="18" xfId="0" applyNumberFormat="1" applyFont="1" applyFill="1" applyBorder="1" applyAlignment="1">
      <alignment horizontal="center" vertical="center"/>
    </xf>
    <xf numFmtId="2" fontId="84" fillId="5" borderId="18" xfId="0" applyNumberFormat="1" applyFont="1" applyFill="1" applyBorder="1" applyAlignment="1" applyProtection="1">
      <alignment horizontal="center" vertical="center"/>
      <protection locked="0"/>
    </xf>
    <xf numFmtId="2" fontId="47" fillId="5" borderId="18" xfId="0" applyNumberFormat="1" applyFont="1" applyFill="1" applyBorder="1" applyAlignment="1" applyProtection="1">
      <alignment horizontal="center" vertical="center"/>
      <protection locked="0"/>
    </xf>
    <xf numFmtId="2" fontId="47" fillId="5" borderId="11" xfId="0" applyNumberFormat="1" applyFont="1" applyFill="1" applyBorder="1" applyAlignment="1" applyProtection="1">
      <alignment horizontal="center" vertical="center"/>
      <protection hidden="1"/>
    </xf>
    <xf numFmtId="2" fontId="84" fillId="5" borderId="1" xfId="0" applyNumberFormat="1" applyFont="1" applyFill="1" applyBorder="1" applyAlignment="1">
      <alignment horizontal="center" vertical="center"/>
    </xf>
    <xf numFmtId="2" fontId="84" fillId="5" borderId="1" xfId="0" applyNumberFormat="1" applyFont="1" applyFill="1" applyBorder="1" applyAlignment="1" applyProtection="1">
      <alignment horizontal="center" vertical="center"/>
      <protection locked="0"/>
    </xf>
    <xf numFmtId="2" fontId="47" fillId="5" borderId="1" xfId="0" applyNumberFormat="1" applyFont="1" applyFill="1" applyBorder="1" applyAlignment="1" applyProtection="1">
      <alignment horizontal="center" vertical="center"/>
      <protection locked="0"/>
    </xf>
    <xf numFmtId="2" fontId="47" fillId="5" borderId="34" xfId="0" applyNumberFormat="1" applyFont="1" applyFill="1" applyBorder="1" applyAlignment="1" applyProtection="1">
      <alignment horizontal="center" vertical="center"/>
      <protection locked="0"/>
    </xf>
    <xf numFmtId="2" fontId="47" fillId="5" borderId="31" xfId="0" applyNumberFormat="1" applyFont="1" applyFill="1" applyBorder="1" applyAlignment="1" applyProtection="1">
      <alignment horizontal="center" vertical="center"/>
      <protection hidden="1"/>
    </xf>
    <xf numFmtId="2" fontId="84" fillId="5" borderId="1" xfId="1" applyNumberFormat="1" applyFont="1" applyFill="1" applyBorder="1" applyAlignment="1" applyProtection="1">
      <alignment horizontal="center" vertical="center"/>
    </xf>
    <xf numFmtId="2" fontId="47" fillId="5" borderId="157" xfId="0" applyNumberFormat="1" applyFont="1" applyFill="1" applyBorder="1" applyAlignment="1" applyProtection="1">
      <alignment horizontal="center" vertical="center"/>
      <protection hidden="1"/>
    </xf>
    <xf numFmtId="2" fontId="84" fillId="5" borderId="1" xfId="1" applyNumberFormat="1" applyFont="1" applyFill="1" applyBorder="1" applyAlignment="1" applyProtection="1">
      <alignment horizontal="center" vertical="center"/>
      <protection locked="0"/>
    </xf>
    <xf numFmtId="1" fontId="51" fillId="5" borderId="93" xfId="1" applyNumberFormat="1" applyFont="1" applyFill="1" applyBorder="1" applyAlignment="1" applyProtection="1">
      <alignment horizontal="center" vertical="center"/>
      <protection hidden="1"/>
    </xf>
    <xf numFmtId="2" fontId="47" fillId="5" borderId="158" xfId="0" applyNumberFormat="1" applyFont="1" applyFill="1" applyBorder="1" applyAlignment="1" applyProtection="1">
      <alignment horizontal="center" vertical="center"/>
      <protection hidden="1"/>
    </xf>
    <xf numFmtId="0" fontId="47" fillId="5" borderId="31" xfId="0" applyFont="1" applyFill="1" applyBorder="1" applyAlignment="1" applyProtection="1">
      <alignment horizontal="center" vertical="center"/>
      <protection hidden="1"/>
    </xf>
    <xf numFmtId="0" fontId="47" fillId="5" borderId="158" xfId="0" applyFont="1" applyFill="1" applyBorder="1" applyAlignment="1" applyProtection="1">
      <alignment horizontal="center" vertical="center"/>
      <protection hidden="1"/>
    </xf>
    <xf numFmtId="2" fontId="47" fillId="5" borderId="118" xfId="0" applyNumberFormat="1" applyFont="1" applyFill="1" applyBorder="1" applyAlignment="1" applyProtection="1">
      <alignment horizontal="center" vertical="center"/>
      <protection hidden="1"/>
    </xf>
    <xf numFmtId="0" fontId="47" fillId="5" borderId="192" xfId="0" applyFont="1" applyFill="1" applyBorder="1" applyProtection="1">
      <protection hidden="1"/>
    </xf>
    <xf numFmtId="0" fontId="47" fillId="5" borderId="117" xfId="0" applyFont="1" applyFill="1" applyBorder="1" applyAlignment="1" applyProtection="1">
      <alignment horizontal="center" vertical="center"/>
      <protection hidden="1"/>
    </xf>
    <xf numFmtId="2" fontId="47" fillId="5" borderId="192" xfId="0" applyNumberFormat="1" applyFont="1" applyFill="1" applyBorder="1" applyProtection="1">
      <protection hidden="1"/>
    </xf>
    <xf numFmtId="2" fontId="47" fillId="5" borderId="192" xfId="0" applyNumberFormat="1" applyFont="1" applyFill="1" applyBorder="1" applyAlignment="1" applyProtection="1">
      <alignment horizontal="center" vertical="center"/>
      <protection hidden="1"/>
    </xf>
    <xf numFmtId="2" fontId="47" fillId="5" borderId="192" xfId="0" applyNumberFormat="1" applyFont="1" applyFill="1" applyBorder="1" applyProtection="1"/>
    <xf numFmtId="4" fontId="48" fillId="5" borderId="4" xfId="0" applyNumberFormat="1" applyFont="1" applyFill="1" applyBorder="1" applyAlignment="1">
      <alignment horizontal="center" vertical="center"/>
    </xf>
    <xf numFmtId="169" fontId="47" fillId="5" borderId="5" xfId="1" applyNumberFormat="1" applyFont="1" applyFill="1" applyBorder="1" applyAlignment="1" applyProtection="1">
      <alignment horizontal="center" vertical="center"/>
      <protection hidden="1"/>
    </xf>
    <xf numFmtId="0" fontId="7" fillId="5" borderId="50" xfId="0" applyFont="1" applyFill="1" applyBorder="1" applyAlignment="1" applyProtection="1">
      <alignment horizontal="center" vertical="center"/>
      <protection hidden="1"/>
    </xf>
    <xf numFmtId="0" fontId="7" fillId="5" borderId="50" xfId="0" applyFont="1" applyFill="1" applyBorder="1" applyAlignment="1" applyProtection="1">
      <alignment horizontal="center" vertical="center"/>
    </xf>
    <xf numFmtId="0" fontId="47" fillId="5" borderId="0" xfId="0" applyFont="1" applyFill="1" applyBorder="1" applyAlignment="1" applyProtection="1">
      <alignment horizontal="center" vertical="center"/>
      <protection hidden="1"/>
    </xf>
    <xf numFmtId="0" fontId="47" fillId="5" borderId="0" xfId="0" applyFont="1" applyFill="1" applyBorder="1" applyAlignment="1" applyProtection="1">
      <alignment horizontal="center" vertical="center"/>
    </xf>
    <xf numFmtId="4" fontId="47" fillId="5" borderId="6" xfId="1" applyNumberFormat="1" applyFont="1" applyFill="1" applyBorder="1" applyAlignment="1" applyProtection="1">
      <alignment horizontal="center" vertical="center"/>
      <protection locked="0"/>
    </xf>
    <xf numFmtId="164" fontId="47" fillId="5" borderId="6" xfId="0" applyNumberFormat="1" applyFont="1" applyFill="1" applyBorder="1" applyAlignment="1" applyProtection="1">
      <alignment horizontal="center" vertical="center"/>
    </xf>
    <xf numFmtId="164" fontId="47" fillId="5" borderId="1" xfId="0" applyNumberFormat="1" applyFont="1" applyFill="1" applyBorder="1" applyAlignment="1" applyProtection="1">
      <alignment horizontal="center" vertical="center"/>
    </xf>
    <xf numFmtId="3" fontId="47" fillId="5" borderId="0" xfId="0" applyNumberFormat="1" applyFont="1" applyFill="1" applyBorder="1" applyAlignment="1" applyProtection="1">
      <alignment horizontal="center" vertical="center"/>
    </xf>
    <xf numFmtId="2" fontId="48" fillId="5" borderId="45" xfId="0" applyNumberFormat="1" applyFont="1" applyFill="1" applyBorder="1" applyAlignment="1" applyProtection="1">
      <alignment horizontal="center" vertical="center"/>
    </xf>
    <xf numFmtId="3" fontId="47" fillId="5" borderId="18" xfId="0" applyNumberFormat="1" applyFont="1" applyFill="1" applyBorder="1" applyAlignment="1" applyProtection="1">
      <alignment horizontal="center" vertical="center"/>
    </xf>
    <xf numFmtId="4" fontId="47" fillId="5" borderId="0" xfId="0" applyNumberFormat="1" applyFont="1" applyFill="1" applyAlignment="1" applyProtection="1">
      <alignment horizontal="center" vertical="center"/>
    </xf>
    <xf numFmtId="3" fontId="47" fillId="5" borderId="1" xfId="0" applyNumberFormat="1" applyFont="1" applyFill="1" applyBorder="1" applyAlignment="1" applyProtection="1">
      <alignment horizontal="center" vertical="center"/>
    </xf>
    <xf numFmtId="169" fontId="47" fillId="5" borderId="116" xfId="1" applyNumberFormat="1" applyFont="1" applyFill="1" applyBorder="1" applyAlignment="1" applyProtection="1">
      <alignment horizontal="center" vertical="center"/>
    </xf>
    <xf numFmtId="0" fontId="47" fillId="5" borderId="192" xfId="0" applyFont="1" applyFill="1" applyBorder="1" applyAlignment="1" applyProtection="1">
      <alignment horizontal="center" vertical="center"/>
      <protection hidden="1"/>
    </xf>
    <xf numFmtId="0" fontId="47" fillId="5" borderId="192" xfId="0" applyFont="1" applyFill="1" applyBorder="1" applyAlignment="1" applyProtection="1">
      <alignment horizontal="center" vertical="center"/>
    </xf>
    <xf numFmtId="0" fontId="27" fillId="5" borderId="92" xfId="0" applyFont="1" applyFill="1" applyBorder="1" applyAlignment="1" applyProtection="1">
      <alignment vertical="center"/>
      <protection hidden="1"/>
    </xf>
    <xf numFmtId="0" fontId="27" fillId="5" borderId="6" xfId="0" applyFont="1" applyFill="1" applyBorder="1" applyAlignment="1" applyProtection="1">
      <alignment vertical="center"/>
      <protection hidden="1"/>
    </xf>
    <xf numFmtId="0" fontId="27" fillId="5" borderId="46" xfId="0" applyFont="1" applyFill="1" applyBorder="1" applyAlignment="1" applyProtection="1">
      <alignment vertical="center"/>
      <protection hidden="1"/>
    </xf>
    <xf numFmtId="0" fontId="27" fillId="5" borderId="113" xfId="0" applyFont="1" applyFill="1" applyBorder="1" applyAlignment="1" applyProtection="1">
      <alignment horizontal="left" vertical="center"/>
      <protection hidden="1"/>
    </xf>
    <xf numFmtId="0" fontId="27" fillId="5" borderId="99" xfId="0" applyFont="1" applyFill="1" applyBorder="1" applyAlignment="1" applyProtection="1">
      <alignment horizontal="left" vertical="center"/>
      <protection hidden="1"/>
    </xf>
    <xf numFmtId="0" fontId="27" fillId="5" borderId="119" xfId="0" applyFont="1" applyFill="1" applyBorder="1" applyAlignment="1" applyProtection="1">
      <alignment horizontal="left" vertical="center"/>
      <protection hidden="1"/>
    </xf>
    <xf numFmtId="10" fontId="31" fillId="5" borderId="122" xfId="0" applyNumberFormat="1" applyFont="1" applyFill="1" applyBorder="1" applyAlignment="1" applyProtection="1">
      <alignment horizontal="center" vertical="center"/>
      <protection hidden="1"/>
    </xf>
    <xf numFmtId="10" fontId="31" fillId="5" borderId="6" xfId="0" applyNumberFormat="1" applyFont="1" applyFill="1" applyBorder="1" applyAlignment="1" applyProtection="1">
      <alignment horizontal="center" vertical="center"/>
      <protection hidden="1"/>
    </xf>
    <xf numFmtId="10" fontId="31" fillId="5" borderId="46" xfId="0" applyNumberFormat="1" applyFont="1" applyFill="1" applyBorder="1" applyAlignment="1" applyProtection="1">
      <alignment horizontal="center" vertical="center"/>
      <protection hidden="1"/>
    </xf>
    <xf numFmtId="10" fontId="65" fillId="5" borderId="46" xfId="0" applyNumberFormat="1" applyFont="1" applyFill="1" applyBorder="1" applyAlignment="1" applyProtection="1">
      <alignment horizontal="center" vertical="center"/>
      <protection hidden="1"/>
    </xf>
    <xf numFmtId="0" fontId="31" fillId="5" borderId="46" xfId="0"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hidden="1"/>
    </xf>
    <xf numFmtId="0" fontId="31" fillId="5" borderId="6" xfId="0" applyFont="1" applyFill="1" applyBorder="1" applyAlignment="1" applyProtection="1">
      <alignment horizontal="center" vertical="center"/>
      <protection hidden="1"/>
    </xf>
    <xf numFmtId="0" fontId="31" fillId="5" borderId="125" xfId="0" applyFont="1" applyFill="1" applyBorder="1" applyAlignment="1" applyProtection="1">
      <alignment horizontal="center" vertical="center"/>
      <protection hidden="1"/>
    </xf>
    <xf numFmtId="0" fontId="44" fillId="5" borderId="5" xfId="0" applyFont="1" applyFill="1" applyBorder="1" applyAlignment="1" applyProtection="1">
      <alignment horizontal="center" vertical="center"/>
      <protection hidden="1"/>
    </xf>
    <xf numFmtId="0" fontId="45" fillId="5" borderId="41" xfId="0" applyFont="1" applyFill="1" applyBorder="1" applyAlignment="1" applyProtection="1">
      <alignment horizontal="left" vertical="center"/>
      <protection hidden="1"/>
    </xf>
    <xf numFmtId="2" fontId="31" fillId="5" borderId="77" xfId="0" applyNumberFormat="1" applyFont="1" applyFill="1" applyBorder="1" applyAlignment="1" applyProtection="1">
      <alignment horizontal="center" vertical="center"/>
      <protection hidden="1"/>
    </xf>
    <xf numFmtId="168" fontId="31" fillId="5" borderId="26" xfId="0" applyNumberFormat="1" applyFont="1" applyFill="1" applyBorder="1" applyAlignment="1" applyProtection="1">
      <alignment horizontal="center" vertical="center"/>
      <protection hidden="1"/>
    </xf>
    <xf numFmtId="2" fontId="31" fillId="5" borderId="1" xfId="0" applyNumberFormat="1" applyFont="1" applyFill="1" applyBorder="1" applyAlignment="1" applyProtection="1">
      <alignment horizontal="center" vertical="center"/>
    </xf>
    <xf numFmtId="2" fontId="30" fillId="5" borderId="1" xfId="0" applyNumberFormat="1" applyFont="1" applyFill="1" applyBorder="1" applyAlignment="1" applyProtection="1">
      <alignment horizontal="center" vertical="center"/>
    </xf>
    <xf numFmtId="2" fontId="45" fillId="5" borderId="1" xfId="0" applyNumberFormat="1" applyFont="1" applyFill="1" applyBorder="1" applyAlignment="1" applyProtection="1">
      <alignment horizontal="center" vertical="center"/>
    </xf>
    <xf numFmtId="2" fontId="65" fillId="5" borderId="1" xfId="0" applyNumberFormat="1" applyFont="1" applyFill="1" applyBorder="1" applyAlignment="1" applyProtection="1">
      <alignment horizontal="center" vertical="center"/>
    </xf>
    <xf numFmtId="2" fontId="82" fillId="5" borderId="1" xfId="0" applyNumberFormat="1" applyFont="1" applyFill="1" applyBorder="1" applyAlignment="1" applyProtection="1">
      <alignment horizontal="center" vertical="center"/>
    </xf>
    <xf numFmtId="2" fontId="45" fillId="5" borderId="41" xfId="0" applyNumberFormat="1" applyFont="1" applyFill="1" applyBorder="1" applyAlignment="1" applyProtection="1">
      <alignment horizontal="center" vertical="center"/>
    </xf>
    <xf numFmtId="2" fontId="31" fillId="5" borderId="2" xfId="0" applyNumberFormat="1" applyFont="1" applyFill="1" applyBorder="1" applyAlignment="1" applyProtection="1">
      <alignment horizontal="center" vertical="center"/>
    </xf>
    <xf numFmtId="2" fontId="65" fillId="5" borderId="56" xfId="0" applyNumberFormat="1" applyFont="1" applyFill="1" applyBorder="1" applyAlignment="1" applyProtection="1">
      <alignment horizontal="center" vertical="center"/>
    </xf>
    <xf numFmtId="0" fontId="29" fillId="5" borderId="5" xfId="0" applyFont="1" applyFill="1" applyBorder="1" applyAlignment="1" applyProtection="1">
      <alignment horizontal="center" vertical="center"/>
      <protection hidden="1"/>
    </xf>
    <xf numFmtId="0" fontId="30" fillId="5" borderId="41" xfId="0" applyFont="1" applyFill="1" applyBorder="1" applyAlignment="1" applyProtection="1">
      <alignment horizontal="left" vertical="center"/>
      <protection hidden="1"/>
    </xf>
    <xf numFmtId="0" fontId="45" fillId="5" borderId="41" xfId="0" applyFont="1" applyFill="1" applyBorder="1" applyAlignment="1" applyProtection="1">
      <alignment horizontal="left" vertical="center" wrapText="1"/>
      <protection hidden="1"/>
    </xf>
    <xf numFmtId="0" fontId="30" fillId="5" borderId="41" xfId="0" applyFont="1" applyFill="1" applyBorder="1" applyAlignment="1" applyProtection="1">
      <alignment horizontal="left" vertical="center" wrapText="1"/>
      <protection hidden="1"/>
    </xf>
    <xf numFmtId="0" fontId="31" fillId="5" borderId="5" xfId="0" applyFont="1" applyFill="1" applyBorder="1" applyAlignment="1" applyProtection="1">
      <alignment horizontal="center" vertical="center"/>
      <protection hidden="1"/>
    </xf>
    <xf numFmtId="2" fontId="3" fillId="5" borderId="119" xfId="0" applyNumberFormat="1" applyFont="1" applyFill="1" applyBorder="1" applyAlignment="1" applyProtection="1">
      <alignment horizontal="center" vertical="center"/>
      <protection hidden="1"/>
    </xf>
    <xf numFmtId="0" fontId="31" fillId="5" borderId="93" xfId="0" applyFont="1" applyFill="1" applyBorder="1" applyAlignment="1" applyProtection="1">
      <alignment horizontal="center" vertical="center"/>
      <protection hidden="1"/>
    </xf>
    <xf numFmtId="0" fontId="30" fillId="5" borderId="52" xfId="0" applyFont="1" applyFill="1" applyBorder="1" applyAlignment="1" applyProtection="1">
      <alignment horizontal="left" vertical="center" wrapText="1"/>
      <protection hidden="1"/>
    </xf>
    <xf numFmtId="2" fontId="31" fillId="5" borderId="81" xfId="0" applyNumberFormat="1" applyFont="1" applyFill="1" applyBorder="1" applyAlignment="1" applyProtection="1">
      <alignment horizontal="center" vertical="center"/>
      <protection hidden="1"/>
    </xf>
    <xf numFmtId="2" fontId="45" fillId="5" borderId="6" xfId="0" applyNumberFormat="1" applyFont="1" applyFill="1" applyBorder="1" applyAlignment="1" applyProtection="1">
      <alignment horizontal="center" vertical="center"/>
    </xf>
    <xf numFmtId="43" fontId="32" fillId="5" borderId="45" xfId="1" applyFont="1" applyFill="1" applyBorder="1" applyAlignment="1" applyProtection="1">
      <alignment horizontal="right" vertical="center"/>
      <protection hidden="1"/>
    </xf>
    <xf numFmtId="2" fontId="33" fillId="5" borderId="193" xfId="0" applyNumberFormat="1" applyFont="1" applyFill="1" applyBorder="1" applyAlignment="1" applyProtection="1">
      <alignment horizontal="center" vertical="center"/>
      <protection hidden="1"/>
    </xf>
    <xf numFmtId="2" fontId="33" fillId="5" borderId="93" xfId="0" applyNumberFormat="1" applyFont="1" applyFill="1" applyBorder="1" applyAlignment="1" applyProtection="1">
      <alignment horizontal="center" vertical="center"/>
      <protection hidden="1"/>
    </xf>
    <xf numFmtId="2" fontId="33" fillId="5" borderId="133" xfId="0" applyNumberFormat="1" applyFont="1" applyFill="1" applyBorder="1" applyAlignment="1" applyProtection="1">
      <alignment horizontal="center" vertical="center"/>
      <protection hidden="1"/>
    </xf>
    <xf numFmtId="2" fontId="28" fillId="5" borderId="119" xfId="0" applyNumberFormat="1" applyFont="1" applyFill="1" applyBorder="1" applyAlignment="1" applyProtection="1">
      <alignment horizontal="center" vertical="center"/>
      <protection hidden="1"/>
    </xf>
    <xf numFmtId="2" fontId="33" fillId="5" borderId="123" xfId="0" applyNumberFormat="1" applyFont="1" applyFill="1" applyBorder="1" applyAlignment="1" applyProtection="1">
      <alignment horizontal="center" vertical="center"/>
    </xf>
    <xf numFmtId="2" fontId="88" fillId="5" borderId="123" xfId="0" applyNumberFormat="1" applyFont="1" applyFill="1" applyBorder="1" applyAlignment="1" applyProtection="1">
      <alignment horizontal="center" vertical="center"/>
    </xf>
    <xf numFmtId="2" fontId="67" fillId="5" borderId="123" xfId="0" applyNumberFormat="1" applyFont="1" applyFill="1" applyBorder="1" applyAlignment="1" applyProtection="1">
      <alignment horizontal="center" vertical="center"/>
    </xf>
    <xf numFmtId="2" fontId="68" fillId="5" borderId="123" xfId="0" applyNumberFormat="1" applyFont="1" applyFill="1" applyBorder="1" applyAlignment="1" applyProtection="1">
      <alignment horizontal="center" vertical="center"/>
    </xf>
    <xf numFmtId="2" fontId="33" fillId="5" borderId="80" xfId="0" applyNumberFormat="1" applyFont="1" applyFill="1" applyBorder="1" applyAlignment="1" applyProtection="1">
      <alignment horizontal="center" vertical="center"/>
    </xf>
    <xf numFmtId="2" fontId="33" fillId="5" borderId="27" xfId="0" applyNumberFormat="1" applyFont="1" applyFill="1" applyBorder="1" applyAlignment="1" applyProtection="1">
      <alignment horizontal="center" vertical="center"/>
    </xf>
    <xf numFmtId="2" fontId="89" fillId="5" borderId="123" xfId="0" applyNumberFormat="1" applyFont="1" applyFill="1" applyBorder="1" applyAlignment="1" applyProtection="1">
      <alignment horizontal="center" vertical="center"/>
    </xf>
    <xf numFmtId="2" fontId="67" fillId="5" borderId="196" xfId="0" applyNumberFormat="1" applyFont="1" applyFill="1" applyBorder="1" applyAlignment="1" applyProtection="1">
      <alignment horizontal="center" vertical="center"/>
    </xf>
    <xf numFmtId="43" fontId="27" fillId="5" borderId="165" xfId="1" applyFont="1" applyFill="1" applyBorder="1" applyAlignment="1" applyProtection="1">
      <alignment horizontal="left" vertical="center"/>
      <protection hidden="1"/>
    </xf>
    <xf numFmtId="43" fontId="27" fillId="5" borderId="134" xfId="1" applyFont="1" applyFill="1" applyBorder="1" applyAlignment="1" applyProtection="1">
      <alignment horizontal="left" vertical="center"/>
      <protection hidden="1"/>
    </xf>
    <xf numFmtId="43" fontId="27" fillId="5" borderId="119" xfId="1" applyFont="1" applyFill="1" applyBorder="1" applyAlignment="1" applyProtection="1">
      <alignment horizontal="left" vertical="center"/>
      <protection hidden="1"/>
    </xf>
    <xf numFmtId="10" fontId="31" fillId="5" borderId="124" xfId="0" applyNumberFormat="1" applyFont="1" applyFill="1" applyBorder="1" applyAlignment="1" applyProtection="1">
      <alignment horizontal="center" vertical="center"/>
    </xf>
    <xf numFmtId="10" fontId="31" fillId="5" borderId="18" xfId="0" applyNumberFormat="1" applyFont="1" applyFill="1" applyBorder="1" applyAlignment="1" applyProtection="1">
      <alignment horizontal="center" vertical="center"/>
    </xf>
    <xf numFmtId="10" fontId="31" fillId="5" borderId="44" xfId="0" applyNumberFormat="1" applyFont="1" applyFill="1" applyBorder="1" applyAlignment="1" applyProtection="1">
      <alignment horizontal="center" vertical="center"/>
    </xf>
    <xf numFmtId="10" fontId="65" fillId="5" borderId="44" xfId="0" applyNumberFormat="1" applyFont="1" applyFill="1" applyBorder="1" applyAlignment="1" applyProtection="1">
      <alignment horizontal="center" vertical="center"/>
    </xf>
    <xf numFmtId="10" fontId="45" fillId="5" borderId="44" xfId="0" applyNumberFormat="1" applyFont="1" applyFill="1" applyBorder="1" applyAlignment="1" applyProtection="1">
      <alignment horizontal="center" vertical="center"/>
    </xf>
    <xf numFmtId="10" fontId="66" fillId="5" borderId="44" xfId="0" applyNumberFormat="1" applyFont="1" applyFill="1" applyBorder="1" applyAlignment="1" applyProtection="1">
      <alignment horizontal="center" vertical="center"/>
    </xf>
    <xf numFmtId="164" fontId="31" fillId="5" borderId="17" xfId="0" applyNumberFormat="1" applyFont="1" applyFill="1" applyBorder="1" applyAlignment="1" applyProtection="1">
      <alignment horizontal="center" vertical="center"/>
    </xf>
    <xf numFmtId="164" fontId="31" fillId="5" borderId="18" xfId="0" applyNumberFormat="1" applyFont="1" applyFill="1" applyBorder="1" applyAlignment="1" applyProtection="1">
      <alignment horizontal="center" vertical="center"/>
    </xf>
    <xf numFmtId="164" fontId="45" fillId="5" borderId="44" xfId="0" applyNumberFormat="1" applyFont="1" applyFill="1" applyBorder="1" applyAlignment="1" applyProtection="1">
      <alignment horizontal="center" vertical="center"/>
    </xf>
    <xf numFmtId="164" fontId="31" fillId="5" borderId="44" xfId="0" applyNumberFormat="1" applyFont="1" applyFill="1" applyBorder="1" applyAlignment="1" applyProtection="1">
      <alignment horizontal="center" vertical="center"/>
    </xf>
    <xf numFmtId="164" fontId="65" fillId="5" borderId="44" xfId="0" applyNumberFormat="1" applyFont="1" applyFill="1" applyBorder="1" applyAlignment="1" applyProtection="1">
      <alignment horizontal="center" vertical="center"/>
    </xf>
    <xf numFmtId="164" fontId="82" fillId="5" borderId="44" xfId="0" applyNumberFormat="1" applyFont="1" applyFill="1" applyBorder="1" applyAlignment="1" applyProtection="1">
      <alignment horizontal="center" vertical="center"/>
    </xf>
    <xf numFmtId="164" fontId="65" fillId="5" borderId="115" xfId="0" applyNumberFormat="1" applyFont="1" applyFill="1" applyBorder="1" applyAlignment="1" applyProtection="1">
      <alignment horizontal="center" vertical="center"/>
    </xf>
    <xf numFmtId="0" fontId="3" fillId="5" borderId="5" xfId="0" applyFont="1" applyFill="1" applyBorder="1" applyAlignment="1" applyProtection="1">
      <alignment horizontal="center" vertical="center"/>
      <protection hidden="1"/>
    </xf>
    <xf numFmtId="0" fontId="4" fillId="5" borderId="41" xfId="0" applyFont="1" applyFill="1" applyBorder="1" applyAlignment="1" applyProtection="1">
      <alignment horizontal="left" vertical="center"/>
      <protection hidden="1"/>
    </xf>
    <xf numFmtId="2" fontId="3" fillId="5" borderId="77" xfId="0" applyNumberFormat="1" applyFont="1" applyFill="1" applyBorder="1" applyAlignment="1" applyProtection="1">
      <alignment horizontal="center" vertical="center"/>
      <protection hidden="1"/>
    </xf>
    <xf numFmtId="0" fontId="14" fillId="5" borderId="5" xfId="0" applyFont="1" applyFill="1" applyBorder="1" applyAlignment="1" applyProtection="1">
      <alignment horizontal="center" vertical="center"/>
      <protection hidden="1"/>
    </xf>
    <xf numFmtId="43" fontId="15" fillId="5" borderId="41" xfId="1" applyFont="1" applyFill="1" applyBorder="1" applyAlignment="1" applyProtection="1">
      <alignment horizontal="left" vertical="center"/>
      <protection hidden="1"/>
    </xf>
    <xf numFmtId="2" fontId="13" fillId="5" borderId="77" xfId="0" applyNumberFormat="1" applyFont="1" applyFill="1" applyBorder="1" applyAlignment="1" applyProtection="1">
      <alignment horizontal="center" vertical="center"/>
      <protection hidden="1"/>
    </xf>
    <xf numFmtId="43" fontId="15" fillId="5" borderId="41" xfId="1" applyFont="1" applyFill="1" applyBorder="1" applyAlignment="1" applyProtection="1">
      <alignment horizontal="left" vertical="center" wrapText="1"/>
      <protection hidden="1"/>
    </xf>
    <xf numFmtId="43" fontId="23" fillId="5" borderId="41" xfId="1" applyFont="1" applyFill="1" applyBorder="1" applyAlignment="1" applyProtection="1">
      <alignment horizontal="right" vertical="center"/>
      <protection hidden="1"/>
    </xf>
    <xf numFmtId="2" fontId="16" fillId="5" borderId="193" xfId="0" applyNumberFormat="1" applyFont="1" applyFill="1" applyBorder="1" applyAlignment="1" applyProtection="1">
      <alignment horizontal="center" vertical="center"/>
      <protection hidden="1"/>
    </xf>
    <xf numFmtId="2" fontId="16" fillId="5" borderId="77" xfId="0" applyNumberFormat="1" applyFont="1" applyFill="1" applyBorder="1" applyAlignment="1" applyProtection="1">
      <alignment horizontal="center" vertical="center"/>
      <protection hidden="1"/>
    </xf>
    <xf numFmtId="168" fontId="16" fillId="5" borderId="26" xfId="0" applyNumberFormat="1" applyFont="1" applyFill="1" applyBorder="1" applyAlignment="1" applyProtection="1">
      <alignment horizontal="center" vertical="center"/>
      <protection hidden="1"/>
    </xf>
    <xf numFmtId="2" fontId="33" fillId="5" borderId="121" xfId="0" applyNumberFormat="1" applyFont="1" applyFill="1" applyBorder="1" applyAlignment="1" applyProtection="1">
      <alignment horizontal="center" vertical="center"/>
    </xf>
    <xf numFmtId="2" fontId="88" fillId="5" borderId="121" xfId="0" applyNumberFormat="1" applyFont="1" applyFill="1" applyBorder="1" applyAlignment="1" applyProtection="1">
      <alignment horizontal="center" vertical="center"/>
    </xf>
    <xf numFmtId="2" fontId="67" fillId="5" borderId="121" xfId="0" applyNumberFormat="1" applyFont="1" applyFill="1" applyBorder="1" applyAlignment="1" applyProtection="1">
      <alignment horizontal="center" vertical="center"/>
    </xf>
    <xf numFmtId="2" fontId="68" fillId="5" borderId="121" xfId="0" applyNumberFormat="1" applyFont="1" applyFill="1" applyBorder="1" applyAlignment="1" applyProtection="1">
      <alignment horizontal="center" vertical="center"/>
    </xf>
    <xf numFmtId="2" fontId="33" fillId="5" borderId="138" xfId="0" applyNumberFormat="1" applyFont="1" applyFill="1" applyBorder="1" applyAlignment="1" applyProtection="1">
      <alignment horizontal="center" vertical="center"/>
    </xf>
    <xf numFmtId="2" fontId="33" fillId="5" borderId="3" xfId="0" applyNumberFormat="1" applyFont="1" applyFill="1" applyBorder="1" applyAlignment="1" applyProtection="1">
      <alignment horizontal="center" vertical="center"/>
    </xf>
    <xf numFmtId="2" fontId="89" fillId="5" borderId="121" xfId="0" applyNumberFormat="1" applyFont="1" applyFill="1" applyBorder="1" applyAlignment="1" applyProtection="1">
      <alignment horizontal="center" vertical="center"/>
    </xf>
    <xf numFmtId="43" fontId="27" fillId="5" borderId="165" xfId="1" applyFont="1" applyFill="1" applyBorder="1" applyAlignment="1" applyProtection="1">
      <alignment horizontal="center" vertical="center"/>
      <protection hidden="1"/>
    </xf>
    <xf numFmtId="43" fontId="27" fillId="5" borderId="134" xfId="1" applyFont="1" applyFill="1" applyBorder="1" applyAlignment="1" applyProtection="1">
      <alignment horizontal="center" vertical="center"/>
      <protection hidden="1"/>
    </xf>
    <xf numFmtId="43" fontId="27" fillId="5" borderId="119" xfId="1" applyFont="1" applyFill="1" applyBorder="1" applyAlignment="1" applyProtection="1">
      <alignment horizontal="center" vertical="center"/>
      <protection hidden="1"/>
    </xf>
    <xf numFmtId="0" fontId="28" fillId="5" borderId="93" xfId="0" applyFont="1" applyFill="1" applyBorder="1" applyAlignment="1" applyProtection="1">
      <alignment horizontal="center" vertical="center"/>
      <protection hidden="1"/>
    </xf>
    <xf numFmtId="43" fontId="27" fillId="5" borderId="52" xfId="1" applyFont="1" applyFill="1" applyBorder="1" applyAlignment="1" applyProtection="1">
      <alignment horizontal="right" vertical="center"/>
      <protection hidden="1"/>
    </xf>
    <xf numFmtId="2" fontId="28" fillId="5" borderId="135" xfId="0" applyNumberFormat="1" applyFont="1" applyFill="1" applyBorder="1" applyAlignment="1" applyProtection="1">
      <alignment horizontal="center" vertical="center"/>
      <protection hidden="1"/>
    </xf>
    <xf numFmtId="2" fontId="28" fillId="5" borderId="81" xfId="0" applyNumberFormat="1" applyFont="1" applyFill="1" applyBorder="1" applyAlignment="1" applyProtection="1">
      <alignment horizontal="center" vertical="center"/>
      <protection hidden="1"/>
    </xf>
    <xf numFmtId="2" fontId="28" fillId="5" borderId="133" xfId="0" applyNumberFormat="1" applyFont="1" applyFill="1" applyBorder="1" applyAlignment="1" applyProtection="1">
      <alignment horizontal="center" vertical="center"/>
      <protection hidden="1"/>
    </xf>
    <xf numFmtId="2" fontId="33" fillId="5" borderId="53" xfId="0" applyNumberFormat="1" applyFont="1" applyFill="1" applyBorder="1" applyAlignment="1" applyProtection="1">
      <alignment horizontal="center" vertical="center"/>
    </xf>
    <xf numFmtId="2" fontId="33" fillId="5" borderId="54" xfId="0" applyNumberFormat="1" applyFont="1" applyFill="1" applyBorder="1" applyAlignment="1" applyProtection="1">
      <alignment horizontal="center" vertical="center"/>
    </xf>
    <xf numFmtId="2" fontId="88" fillId="5" borderId="54" xfId="0" applyNumberFormat="1" applyFont="1" applyFill="1" applyBorder="1" applyAlignment="1" applyProtection="1">
      <alignment horizontal="center" vertical="center"/>
    </xf>
    <xf numFmtId="2" fontId="83" fillId="5" borderId="54" xfId="0" applyNumberFormat="1" applyFont="1" applyFill="1" applyBorder="1" applyAlignment="1" applyProtection="1">
      <alignment horizontal="center" vertical="center"/>
    </xf>
    <xf numFmtId="2" fontId="67" fillId="5" borderId="54" xfId="0" applyNumberFormat="1" applyFont="1" applyFill="1" applyBorder="1" applyAlignment="1" applyProtection="1">
      <alignment horizontal="center" vertical="center"/>
    </xf>
    <xf numFmtId="2" fontId="68" fillId="5" borderId="54" xfId="0" applyNumberFormat="1" applyFont="1" applyFill="1" applyBorder="1" applyAlignment="1" applyProtection="1">
      <alignment horizontal="center" vertical="center"/>
    </xf>
    <xf numFmtId="2" fontId="33" fillId="5" borderId="59" xfId="0" applyNumberFormat="1" applyFont="1" applyFill="1" applyBorder="1" applyAlignment="1" applyProtection="1">
      <alignment horizontal="center" vertical="center"/>
    </xf>
    <xf numFmtId="2" fontId="33" fillId="5" borderId="60" xfId="0" applyNumberFormat="1" applyFont="1" applyFill="1" applyBorder="1" applyAlignment="1" applyProtection="1">
      <alignment horizontal="center" vertical="center"/>
    </xf>
    <xf numFmtId="2" fontId="89" fillId="5" borderId="54" xfId="0" applyNumberFormat="1" applyFont="1" applyFill="1" applyBorder="1" applyAlignment="1" applyProtection="1">
      <alignment horizontal="center" vertical="center"/>
    </xf>
    <xf numFmtId="2" fontId="88" fillId="5" borderId="63" xfId="0" applyNumberFormat="1" applyFont="1" applyFill="1" applyBorder="1" applyAlignment="1" applyProtection="1">
      <alignment horizontal="center" vertical="center"/>
    </xf>
    <xf numFmtId="2" fontId="67" fillId="5" borderId="63" xfId="0" applyNumberFormat="1" applyFont="1" applyFill="1" applyBorder="1" applyAlignment="1" applyProtection="1">
      <alignment horizontal="center" vertical="center"/>
    </xf>
    <xf numFmtId="2" fontId="67" fillId="5" borderId="197" xfId="0" applyNumberFormat="1" applyFont="1" applyFill="1" applyBorder="1" applyAlignment="1" applyProtection="1">
      <alignment horizontal="center" vertical="center"/>
    </xf>
    <xf numFmtId="2" fontId="3" fillId="5" borderId="62" xfId="0" applyNumberFormat="1" applyFont="1" applyFill="1" applyBorder="1" applyAlignment="1" applyProtection="1">
      <alignment horizontal="center" vertical="center"/>
      <protection hidden="1"/>
    </xf>
    <xf numFmtId="2" fontId="3" fillId="5" borderId="130" xfId="0" applyNumberFormat="1" applyFont="1" applyFill="1" applyBorder="1" applyAlignment="1" applyProtection="1">
      <alignment horizontal="center" vertical="center"/>
      <protection hidden="1"/>
    </xf>
    <xf numFmtId="2" fontId="3" fillId="5" borderId="15" xfId="0" applyNumberFormat="1" applyFont="1" applyFill="1" applyBorder="1" applyAlignment="1" applyProtection="1">
      <alignment horizontal="center" vertical="center"/>
      <protection hidden="1"/>
    </xf>
    <xf numFmtId="2" fontId="3" fillId="5" borderId="90" xfId="0" applyNumberFormat="1" applyFont="1" applyFill="1" applyBorder="1" applyAlignment="1" applyProtection="1">
      <alignment horizontal="center" vertical="center"/>
      <protection hidden="1"/>
    </xf>
    <xf numFmtId="2" fontId="31" fillId="5" borderId="15" xfId="0" applyNumberFormat="1" applyFont="1" applyFill="1" applyBorder="1" applyAlignment="1" applyProtection="1">
      <alignment horizontal="center" vertical="center"/>
    </xf>
    <xf numFmtId="2" fontId="31" fillId="5" borderId="16" xfId="0" applyNumberFormat="1" applyFont="1" applyFill="1" applyBorder="1" applyAlignment="1" applyProtection="1">
      <alignment horizontal="center" vertical="center"/>
    </xf>
    <xf numFmtId="2" fontId="45" fillId="5" borderId="16" xfId="0" applyNumberFormat="1" applyFont="1" applyFill="1" applyBorder="1" applyAlignment="1" applyProtection="1">
      <alignment horizontal="center" vertical="center"/>
    </xf>
    <xf numFmtId="2" fontId="65" fillId="5" borderId="16" xfId="0" applyNumberFormat="1" applyFont="1" applyFill="1" applyBorder="1" applyAlignment="1" applyProtection="1">
      <alignment horizontal="center" vertical="center"/>
    </xf>
    <xf numFmtId="2" fontId="82" fillId="5" borderId="16" xfId="0" applyNumberFormat="1" applyFont="1" applyFill="1" applyBorder="1" applyAlignment="1" applyProtection="1">
      <alignment horizontal="center" vertical="center"/>
    </xf>
    <xf numFmtId="2" fontId="45" fillId="5" borderId="62" xfId="0" applyNumberFormat="1" applyFont="1" applyFill="1" applyBorder="1" applyAlignment="1" applyProtection="1">
      <alignment horizontal="center" vertical="center"/>
    </xf>
    <xf numFmtId="2" fontId="31" fillId="5" borderId="86" xfId="0" applyNumberFormat="1" applyFont="1" applyFill="1" applyBorder="1" applyAlignment="1" applyProtection="1">
      <alignment horizontal="center" vertical="center"/>
    </xf>
    <xf numFmtId="2" fontId="65" fillId="5" borderId="89" xfId="0" applyNumberFormat="1" applyFont="1" applyFill="1" applyBorder="1" applyAlignment="1" applyProtection="1">
      <alignment horizontal="center" vertical="center"/>
    </xf>
    <xf numFmtId="2" fontId="3" fillId="5" borderId="41" xfId="0" applyNumberFormat="1" applyFont="1" applyFill="1" applyBorder="1" applyAlignment="1" applyProtection="1">
      <alignment horizontal="center" vertical="center"/>
      <protection hidden="1"/>
    </xf>
    <xf numFmtId="2" fontId="3" fillId="5" borderId="5" xfId="0" applyNumberFormat="1" applyFont="1" applyFill="1" applyBorder="1" applyAlignment="1" applyProtection="1">
      <alignment horizontal="center" vertical="center"/>
      <protection hidden="1"/>
    </xf>
    <xf numFmtId="2" fontId="3" fillId="5" borderId="26" xfId="0" applyNumberFormat="1" applyFont="1" applyFill="1" applyBorder="1" applyAlignment="1" applyProtection="1">
      <alignment horizontal="center" vertical="center"/>
      <protection hidden="1"/>
    </xf>
    <xf numFmtId="2" fontId="3" fillId="5" borderId="77" xfId="0" quotePrefix="1" applyNumberFormat="1" applyFont="1" applyFill="1" applyBorder="1" applyAlignment="1" applyProtection="1">
      <alignment horizontal="center" vertical="center"/>
      <protection hidden="1"/>
    </xf>
    <xf numFmtId="2" fontId="3" fillId="5" borderId="5" xfId="0" quotePrefix="1" applyNumberFormat="1" applyFont="1" applyFill="1" applyBorder="1" applyAlignment="1" applyProtection="1">
      <alignment horizontal="center" vertical="center"/>
      <protection hidden="1"/>
    </xf>
    <xf numFmtId="2" fontId="3" fillId="5" borderId="26" xfId="0" quotePrefix="1" applyNumberFormat="1" applyFont="1" applyFill="1" applyBorder="1" applyAlignment="1" applyProtection="1">
      <alignment horizontal="center" vertical="center"/>
      <protection hidden="1"/>
    </xf>
    <xf numFmtId="2" fontId="3" fillId="5" borderId="119" xfId="0" quotePrefix="1" applyNumberFormat="1" applyFont="1" applyFill="1" applyBorder="1" applyAlignment="1" applyProtection="1">
      <alignment horizontal="center" vertical="center"/>
      <protection hidden="1"/>
    </xf>
    <xf numFmtId="2" fontId="28" fillId="5" borderId="53" xfId="0" applyNumberFormat="1" applyFont="1" applyFill="1" applyBorder="1" applyAlignment="1" applyProtection="1">
      <alignment horizontal="center" vertical="center"/>
      <protection hidden="1"/>
    </xf>
    <xf numFmtId="2" fontId="28" fillId="5" borderId="61" xfId="0" applyNumberFormat="1" applyFont="1" applyFill="1" applyBorder="1" applyAlignment="1" applyProtection="1">
      <alignment horizontal="center" vertical="center"/>
      <protection hidden="1"/>
    </xf>
    <xf numFmtId="2" fontId="33" fillId="5" borderId="63" xfId="0" applyNumberFormat="1" applyFont="1" applyFill="1" applyBorder="1" applyAlignment="1" applyProtection="1">
      <alignment horizontal="center" vertical="center"/>
    </xf>
    <xf numFmtId="168" fontId="67" fillId="5" borderId="54" xfId="0" applyNumberFormat="1" applyFont="1" applyFill="1" applyBorder="1" applyAlignment="1" applyProtection="1">
      <alignment horizontal="center" vertical="center"/>
    </xf>
    <xf numFmtId="168" fontId="33" fillId="5" borderId="54" xfId="0" applyNumberFormat="1" applyFont="1" applyFill="1" applyBorder="1" applyAlignment="1" applyProtection="1">
      <alignment horizontal="center" vertical="center"/>
    </xf>
    <xf numFmtId="2" fontId="33" fillId="5" borderId="4" xfId="0" applyNumberFormat="1" applyFont="1" applyFill="1" applyBorder="1" applyAlignment="1" applyProtection="1">
      <alignment horizontal="center" vertical="center"/>
    </xf>
    <xf numFmtId="2" fontId="88" fillId="5" borderId="4" xfId="0" applyNumberFormat="1" applyFont="1" applyFill="1" applyBorder="1" applyAlignment="1" applyProtection="1">
      <alignment horizontal="center" vertical="center"/>
    </xf>
    <xf numFmtId="2" fontId="67" fillId="5" borderId="4" xfId="0" applyNumberFormat="1" applyFont="1" applyFill="1" applyBorder="1" applyAlignment="1" applyProtection="1">
      <alignment horizontal="center" vertical="center"/>
    </xf>
    <xf numFmtId="2" fontId="89" fillId="5" borderId="4" xfId="0" applyNumberFormat="1" applyFont="1" applyFill="1" applyBorder="1" applyAlignment="1" applyProtection="1">
      <alignment horizontal="center" vertical="center"/>
    </xf>
    <xf numFmtId="2" fontId="67" fillId="5" borderId="176" xfId="0" applyNumberFormat="1" applyFont="1" applyFill="1" applyBorder="1" applyAlignment="1" applyProtection="1">
      <alignment horizontal="center" vertical="center"/>
    </xf>
    <xf numFmtId="0" fontId="27" fillId="5" borderId="0" xfId="0" applyFont="1" applyFill="1" applyBorder="1" applyAlignment="1" applyProtection="1">
      <alignment horizontal="center" vertical="center"/>
      <protection hidden="1"/>
    </xf>
    <xf numFmtId="0" fontId="32" fillId="5" borderId="93" xfId="0" applyFont="1" applyFill="1" applyBorder="1" applyAlignment="1" applyProtection="1">
      <alignment horizontal="center" vertical="center"/>
      <protection hidden="1"/>
    </xf>
    <xf numFmtId="0" fontId="32" fillId="5" borderId="133" xfId="0" applyFont="1" applyFill="1" applyBorder="1" applyAlignment="1" applyProtection="1">
      <alignment horizontal="center" vertical="center"/>
      <protection hidden="1"/>
    </xf>
    <xf numFmtId="0" fontId="30" fillId="5" borderId="44" xfId="0" applyFont="1" applyFill="1" applyBorder="1" applyAlignment="1" applyProtection="1">
      <alignment horizontal="left" vertical="center" wrapText="1"/>
      <protection hidden="1"/>
    </xf>
    <xf numFmtId="43" fontId="27" fillId="5" borderId="0" xfId="1" applyFont="1" applyFill="1" applyBorder="1" applyAlignment="1" applyProtection="1">
      <alignment horizontal="left" vertical="center"/>
      <protection hidden="1"/>
    </xf>
    <xf numFmtId="43" fontId="32" fillId="5" borderId="165" xfId="1" applyFont="1" applyFill="1" applyBorder="1" applyAlignment="1" applyProtection="1">
      <alignment horizontal="left" vertical="center"/>
      <protection hidden="1"/>
    </xf>
    <xf numFmtId="43" fontId="32" fillId="5" borderId="134" xfId="1" applyFont="1" applyFill="1" applyBorder="1" applyAlignment="1" applyProtection="1">
      <alignment horizontal="left" vertical="center"/>
      <protection hidden="1"/>
    </xf>
    <xf numFmtId="43" fontId="32" fillId="5" borderId="116" xfId="1" applyFont="1" applyFill="1" applyBorder="1" applyAlignment="1" applyProtection="1">
      <alignment horizontal="left" vertical="center"/>
    </xf>
    <xf numFmtId="43" fontId="32" fillId="5" borderId="134" xfId="1" applyFont="1" applyFill="1" applyBorder="1" applyAlignment="1" applyProtection="1">
      <alignment horizontal="left" vertical="center"/>
    </xf>
    <xf numFmtId="43" fontId="27" fillId="5" borderId="0" xfId="1" applyFont="1" applyFill="1" applyBorder="1" applyAlignment="1" applyProtection="1">
      <alignment horizontal="center" vertical="center"/>
      <protection hidden="1"/>
    </xf>
    <xf numFmtId="43" fontId="32" fillId="5" borderId="165" xfId="1" applyFont="1" applyFill="1" applyBorder="1" applyAlignment="1" applyProtection="1">
      <alignment horizontal="center" vertical="center"/>
      <protection hidden="1"/>
    </xf>
    <xf numFmtId="43" fontId="32" fillId="5" borderId="134" xfId="1" applyFont="1" applyFill="1" applyBorder="1" applyAlignment="1" applyProtection="1">
      <alignment horizontal="center" vertical="center"/>
      <protection hidden="1"/>
    </xf>
    <xf numFmtId="43" fontId="32" fillId="5" borderId="92" xfId="1" applyFont="1" applyFill="1" applyBorder="1" applyAlignment="1" applyProtection="1">
      <alignment horizontal="center" vertical="center"/>
    </xf>
    <xf numFmtId="43" fontId="32" fillId="5" borderId="99" xfId="1" applyFont="1" applyFill="1" applyBorder="1" applyAlignment="1" applyProtection="1">
      <alignment horizontal="center" vertical="center"/>
    </xf>
    <xf numFmtId="43" fontId="32" fillId="5" borderId="116" xfId="1" applyFont="1" applyFill="1" applyBorder="1" applyAlignment="1" applyProtection="1">
      <alignment horizontal="center" vertical="center"/>
    </xf>
    <xf numFmtId="43" fontId="32" fillId="5" borderId="134" xfId="1" applyFont="1" applyFill="1" applyBorder="1" applyAlignment="1" applyProtection="1">
      <alignment horizontal="center" vertical="center"/>
    </xf>
    <xf numFmtId="2" fontId="30" fillId="5" borderId="188" xfId="0" applyNumberFormat="1" applyFont="1" applyFill="1" applyBorder="1" applyAlignment="1" applyProtection="1">
      <alignment horizontal="center" vertical="center"/>
      <protection hidden="1"/>
    </xf>
    <xf numFmtId="2" fontId="30" fillId="5" borderId="0" xfId="0" applyNumberFormat="1" applyFont="1" applyFill="1" applyBorder="1" applyAlignment="1" applyProtection="1">
      <alignment horizontal="center" vertical="center"/>
      <protection hidden="1"/>
    </xf>
    <xf numFmtId="2" fontId="30" fillId="5" borderId="116" xfId="0" applyNumberFormat="1" applyFont="1" applyFill="1" applyBorder="1" applyAlignment="1" applyProtection="1">
      <alignment horizontal="center" vertical="center"/>
      <protection hidden="1"/>
    </xf>
    <xf numFmtId="168" fontId="30" fillId="5" borderId="134" xfId="0" applyNumberFormat="1" applyFont="1" applyFill="1" applyBorder="1" applyAlignment="1" applyProtection="1">
      <alignment horizontal="center" vertical="center"/>
      <protection hidden="1"/>
    </xf>
    <xf numFmtId="2" fontId="30" fillId="5" borderId="116" xfId="0" applyNumberFormat="1" applyFont="1" applyFill="1" applyBorder="1" applyAlignment="1" applyProtection="1">
      <alignment horizontal="center" vertical="center"/>
    </xf>
    <xf numFmtId="168" fontId="30" fillId="5" borderId="134" xfId="0" applyNumberFormat="1" applyFont="1" applyFill="1" applyBorder="1" applyAlignment="1" applyProtection="1">
      <alignment horizontal="center" vertical="center"/>
    </xf>
    <xf numFmtId="0" fontId="47" fillId="5" borderId="0" xfId="0" applyFont="1" applyFill="1" applyBorder="1" applyProtection="1"/>
    <xf numFmtId="2" fontId="30" fillId="5" borderId="134" xfId="0" applyNumberFormat="1" applyFont="1" applyFill="1" applyBorder="1" applyAlignment="1" applyProtection="1">
      <alignment horizontal="center" vertical="center"/>
    </xf>
    <xf numFmtId="0" fontId="30" fillId="5" borderId="5" xfId="0" applyFont="1" applyFill="1" applyBorder="1" applyAlignment="1" applyProtection="1">
      <alignment horizontal="center" vertical="center"/>
      <protection hidden="1"/>
    </xf>
    <xf numFmtId="2" fontId="30" fillId="5" borderId="109" xfId="0" applyNumberFormat="1" applyFont="1" applyFill="1" applyBorder="1" applyAlignment="1" applyProtection="1">
      <alignment horizontal="center" vertical="center"/>
      <protection hidden="1"/>
    </xf>
    <xf numFmtId="2" fontId="30" fillId="5" borderId="5" xfId="0" applyNumberFormat="1" applyFont="1" applyFill="1" applyBorder="1" applyAlignment="1" applyProtection="1">
      <alignment horizontal="center" vertical="center"/>
      <protection hidden="1"/>
    </xf>
    <xf numFmtId="168" fontId="30" fillId="5" borderId="26" xfId="0" applyNumberFormat="1" applyFont="1" applyFill="1" applyBorder="1" applyAlignment="1" applyProtection="1">
      <alignment horizontal="center" vertical="center"/>
      <protection hidden="1"/>
    </xf>
    <xf numFmtId="2" fontId="30" fillId="5" borderId="5" xfId="0" applyNumberFormat="1" applyFont="1" applyFill="1" applyBorder="1" applyAlignment="1" applyProtection="1">
      <alignment horizontal="center" vertical="center"/>
    </xf>
    <xf numFmtId="168" fontId="30" fillId="5" borderId="26" xfId="0" applyNumberFormat="1" applyFont="1" applyFill="1" applyBorder="1" applyAlignment="1" applyProtection="1">
      <alignment horizontal="center" vertical="center"/>
    </xf>
    <xf numFmtId="2" fontId="30" fillId="5" borderId="26" xfId="0" applyNumberFormat="1" applyFont="1" applyFill="1" applyBorder="1" applyAlignment="1" applyProtection="1">
      <alignment horizontal="center" vertical="center"/>
    </xf>
    <xf numFmtId="0" fontId="30" fillId="5" borderId="93" xfId="0" applyFont="1" applyFill="1" applyBorder="1" applyAlignment="1" applyProtection="1">
      <alignment horizontal="center" vertical="center"/>
      <protection hidden="1"/>
    </xf>
    <xf numFmtId="2" fontId="30" fillId="5" borderId="110" xfId="0" applyNumberFormat="1" applyFont="1" applyFill="1" applyBorder="1" applyAlignment="1" applyProtection="1">
      <alignment horizontal="center" vertical="center"/>
      <protection hidden="1"/>
    </xf>
    <xf numFmtId="2" fontId="32" fillId="5" borderId="110" xfId="0" applyNumberFormat="1" applyFont="1" applyFill="1" applyBorder="1" applyAlignment="1" applyProtection="1">
      <alignment horizontal="center" vertical="center"/>
      <protection hidden="1"/>
    </xf>
    <xf numFmtId="2" fontId="32" fillId="5" borderId="0" xfId="0" applyNumberFormat="1" applyFont="1" applyFill="1" applyBorder="1" applyAlignment="1" applyProtection="1">
      <alignment horizontal="center" vertical="center"/>
      <protection hidden="1"/>
    </xf>
    <xf numFmtId="2" fontId="32" fillId="5" borderId="114" xfId="0" applyNumberFormat="1" applyFont="1" applyFill="1" applyBorder="1" applyAlignment="1" applyProtection="1">
      <alignment horizontal="center" vertical="center"/>
      <protection hidden="1"/>
    </xf>
    <xf numFmtId="2" fontId="32" fillId="5" borderId="100" xfId="0" applyNumberFormat="1" applyFont="1" applyFill="1" applyBorder="1" applyAlignment="1" applyProtection="1">
      <alignment horizontal="center" vertical="center"/>
      <protection hidden="1"/>
    </xf>
    <xf numFmtId="2" fontId="32" fillId="5" borderId="114" xfId="0" applyNumberFormat="1" applyFont="1" applyFill="1" applyBorder="1" applyAlignment="1" applyProtection="1">
      <alignment horizontal="center" vertical="center"/>
    </xf>
    <xf numFmtId="2" fontId="32" fillId="5" borderId="100" xfId="0" applyNumberFormat="1" applyFont="1" applyFill="1" applyBorder="1" applyAlignment="1" applyProtection="1">
      <alignment horizontal="center" vertical="center"/>
    </xf>
    <xf numFmtId="0" fontId="4" fillId="5" borderId="5" xfId="0" applyFont="1" applyFill="1" applyBorder="1" applyAlignment="1" applyProtection="1">
      <alignment horizontal="center" vertical="center"/>
      <protection hidden="1"/>
    </xf>
    <xf numFmtId="2" fontId="4" fillId="5" borderId="0" xfId="0" applyNumberFormat="1" applyFont="1" applyFill="1" applyBorder="1" applyAlignment="1" applyProtection="1">
      <alignment horizontal="center" vertical="center"/>
      <protection hidden="1"/>
    </xf>
    <xf numFmtId="2" fontId="30" fillId="5" borderId="77" xfId="0" applyNumberFormat="1" applyFont="1" applyFill="1" applyBorder="1" applyAlignment="1" applyProtection="1">
      <alignment horizontal="center" vertical="center"/>
      <protection hidden="1"/>
    </xf>
    <xf numFmtId="174" fontId="30" fillId="5" borderId="26" xfId="0" applyNumberFormat="1" applyFont="1" applyFill="1" applyBorder="1" applyAlignment="1" applyProtection="1">
      <alignment horizontal="center" vertical="center"/>
    </xf>
    <xf numFmtId="0" fontId="93" fillId="5" borderId="5" xfId="0" applyFont="1" applyFill="1" applyBorder="1" applyAlignment="1" applyProtection="1">
      <alignment horizontal="center" vertical="center"/>
      <protection hidden="1"/>
    </xf>
    <xf numFmtId="2" fontId="48" fillId="5" borderId="109" xfId="0" applyNumberFormat="1" applyFont="1" applyFill="1" applyBorder="1" applyAlignment="1" applyProtection="1">
      <alignment horizontal="center" vertical="center"/>
      <protection hidden="1"/>
    </xf>
    <xf numFmtId="2" fontId="94" fillId="5" borderId="0" xfId="0" applyNumberFormat="1" applyFont="1" applyFill="1" applyBorder="1" applyAlignment="1" applyProtection="1">
      <alignment horizontal="center" vertical="center"/>
      <protection hidden="1"/>
    </xf>
    <xf numFmtId="2" fontId="48" fillId="5" borderId="77" xfId="0" applyNumberFormat="1" applyFont="1" applyFill="1" applyBorder="1" applyAlignment="1" applyProtection="1">
      <alignment horizontal="center" vertical="center"/>
      <protection hidden="1"/>
    </xf>
    <xf numFmtId="168" fontId="48" fillId="5" borderId="26" xfId="0" applyNumberFormat="1" applyFont="1" applyFill="1" applyBorder="1" applyAlignment="1" applyProtection="1">
      <alignment horizontal="center" vertical="center"/>
      <protection hidden="1"/>
    </xf>
    <xf numFmtId="2" fontId="48" fillId="5" borderId="114" xfId="0" applyNumberFormat="1" applyFont="1" applyFill="1" applyBorder="1" applyAlignment="1" applyProtection="1">
      <alignment horizontal="center" vertical="center"/>
    </xf>
    <xf numFmtId="168" fontId="48" fillId="5" borderId="100" xfId="0" applyNumberFormat="1" applyFont="1" applyFill="1" applyBorder="1" applyAlignment="1" applyProtection="1">
      <alignment horizontal="center" vertical="center"/>
    </xf>
    <xf numFmtId="0" fontId="27" fillId="5" borderId="93" xfId="0" applyFont="1" applyFill="1" applyBorder="1" applyAlignment="1" applyProtection="1">
      <alignment horizontal="center" vertical="center"/>
      <protection hidden="1"/>
    </xf>
    <xf numFmtId="2" fontId="27" fillId="5" borderId="0" xfId="0" applyNumberFormat="1" applyFont="1" applyFill="1" applyBorder="1" applyAlignment="1" applyProtection="1">
      <alignment horizontal="center" vertical="center"/>
      <protection hidden="1"/>
    </xf>
    <xf numFmtId="2" fontId="32" fillId="5" borderId="81" xfId="0" applyNumberFormat="1" applyFont="1" applyFill="1" applyBorder="1" applyAlignment="1" applyProtection="1">
      <alignment horizontal="center" vertical="center"/>
      <protection hidden="1"/>
    </xf>
    <xf numFmtId="2" fontId="32" fillId="5" borderId="133" xfId="0" applyNumberFormat="1" applyFont="1" applyFill="1" applyBorder="1" applyAlignment="1" applyProtection="1">
      <alignment horizontal="center" vertical="center"/>
      <protection hidden="1"/>
    </xf>
    <xf numFmtId="2" fontId="32" fillId="5" borderId="93" xfId="0" applyNumberFormat="1" applyFont="1" applyFill="1" applyBorder="1" applyAlignment="1" applyProtection="1">
      <alignment horizontal="center" vertical="center"/>
    </xf>
    <xf numFmtId="2" fontId="32" fillId="5" borderId="133" xfId="0" applyNumberFormat="1" applyFont="1" applyFill="1" applyBorder="1" applyAlignment="1" applyProtection="1">
      <alignment horizontal="center" vertical="center"/>
    </xf>
    <xf numFmtId="2" fontId="4" fillId="5" borderId="62" xfId="0" applyNumberFormat="1" applyFont="1" applyFill="1" applyBorder="1" applyAlignment="1" applyProtection="1">
      <alignment horizontal="center" vertical="center"/>
      <protection hidden="1"/>
    </xf>
    <xf numFmtId="2" fontId="30" fillId="5" borderId="190" xfId="0" applyNumberFormat="1" applyFont="1" applyFill="1" applyBorder="1" applyAlignment="1" applyProtection="1">
      <alignment horizontal="center" vertical="center"/>
      <protection hidden="1"/>
    </xf>
    <xf numFmtId="2" fontId="30" fillId="5" borderId="15" xfId="0" applyNumberFormat="1" applyFont="1" applyFill="1" applyBorder="1" applyAlignment="1" applyProtection="1">
      <alignment horizontal="center" vertical="center"/>
      <protection hidden="1"/>
    </xf>
    <xf numFmtId="2" fontId="30" fillId="5" borderId="90" xfId="0" applyNumberFormat="1" applyFont="1" applyFill="1" applyBorder="1" applyAlignment="1" applyProtection="1">
      <alignment horizontal="center" vertical="center"/>
      <protection hidden="1"/>
    </xf>
    <xf numFmtId="2" fontId="30" fillId="5" borderId="15" xfId="0" applyNumberFormat="1" applyFont="1" applyFill="1" applyBorder="1" applyAlignment="1" applyProtection="1">
      <alignment horizontal="center" vertical="center"/>
    </xf>
    <xf numFmtId="2" fontId="30" fillId="5" borderId="90" xfId="0" applyNumberFormat="1" applyFont="1" applyFill="1" applyBorder="1" applyAlignment="1" applyProtection="1">
      <alignment horizontal="center" vertical="center"/>
    </xf>
    <xf numFmtId="0" fontId="47" fillId="5" borderId="57" xfId="0" applyFont="1" applyFill="1" applyBorder="1" applyProtection="1"/>
    <xf numFmtId="168" fontId="30" fillId="5" borderId="90" xfId="0" applyNumberFormat="1" applyFont="1" applyFill="1" applyBorder="1" applyAlignment="1" applyProtection="1">
      <alignment horizontal="center" vertical="center"/>
    </xf>
    <xf numFmtId="2" fontId="4" fillId="5" borderId="41" xfId="0" applyNumberFormat="1" applyFont="1" applyFill="1" applyBorder="1" applyAlignment="1" applyProtection="1">
      <alignment horizontal="center" vertical="center"/>
      <protection hidden="1"/>
    </xf>
    <xf numFmtId="2" fontId="30" fillId="5" borderId="26" xfId="0" applyNumberFormat="1" applyFont="1" applyFill="1" applyBorder="1" applyAlignment="1" applyProtection="1">
      <alignment horizontal="center" vertical="center"/>
      <protection hidden="1"/>
    </xf>
    <xf numFmtId="2" fontId="30" fillId="5" borderId="109" xfId="0" quotePrefix="1" applyNumberFormat="1" applyFont="1" applyFill="1" applyBorder="1" applyAlignment="1" applyProtection="1">
      <alignment horizontal="center" vertical="center"/>
      <protection hidden="1"/>
    </xf>
    <xf numFmtId="2" fontId="4" fillId="5" borderId="0" xfId="0" quotePrefix="1" applyNumberFormat="1" applyFont="1" applyFill="1" applyBorder="1" applyAlignment="1" applyProtection="1">
      <alignment horizontal="center" vertical="center"/>
      <protection hidden="1"/>
    </xf>
    <xf numFmtId="2" fontId="30" fillId="5" borderId="5" xfId="0" quotePrefix="1" applyNumberFormat="1" applyFont="1" applyFill="1" applyBorder="1" applyAlignment="1" applyProtection="1">
      <alignment horizontal="center" vertical="center"/>
      <protection hidden="1"/>
    </xf>
    <xf numFmtId="2" fontId="30" fillId="5" borderId="26" xfId="0" quotePrefix="1" applyNumberFormat="1" applyFont="1" applyFill="1" applyBorder="1" applyAlignment="1" applyProtection="1">
      <alignment horizontal="center" vertical="center"/>
      <protection hidden="1"/>
    </xf>
    <xf numFmtId="2" fontId="30" fillId="5" borderId="5" xfId="0" quotePrefix="1" applyNumberFormat="1" applyFont="1" applyFill="1" applyBorder="1" applyAlignment="1" applyProtection="1">
      <alignment horizontal="center" vertical="center"/>
    </xf>
    <xf numFmtId="2" fontId="30" fillId="5" borderId="26" xfId="0" quotePrefix="1" applyNumberFormat="1" applyFont="1" applyFill="1" applyBorder="1" applyAlignment="1" applyProtection="1">
      <alignment horizontal="center" vertical="center"/>
    </xf>
    <xf numFmtId="43" fontId="27" fillId="5" borderId="130" xfId="1" applyFont="1" applyFill="1" applyBorder="1" applyAlignment="1" applyProtection="1">
      <alignment vertical="center"/>
      <protection hidden="1"/>
    </xf>
    <xf numFmtId="43" fontId="27" fillId="5" borderId="131" xfId="1" applyFont="1" applyFill="1" applyBorder="1" applyAlignment="1" applyProtection="1">
      <alignment vertical="center"/>
      <protection hidden="1"/>
    </xf>
    <xf numFmtId="43" fontId="27" fillId="5" borderId="190" xfId="1" applyFont="1" applyFill="1" applyBorder="1" applyAlignment="1" applyProtection="1">
      <alignment vertical="center"/>
      <protection hidden="1"/>
    </xf>
    <xf numFmtId="43" fontId="27" fillId="5" borderId="0" xfId="1" applyFont="1" applyFill="1" applyBorder="1" applyAlignment="1" applyProtection="1">
      <alignment vertical="center"/>
      <protection hidden="1"/>
    </xf>
    <xf numFmtId="0" fontId="27" fillId="5" borderId="0" xfId="0" applyFont="1" applyFill="1" applyBorder="1" applyAlignment="1" applyProtection="1">
      <alignment horizontal="left" vertical="center"/>
      <protection hidden="1"/>
    </xf>
    <xf numFmtId="0" fontId="32" fillId="5" borderId="5" xfId="0" applyFont="1" applyFill="1" applyBorder="1" applyAlignment="1" applyProtection="1">
      <alignment horizontal="center" vertical="center"/>
      <protection hidden="1"/>
    </xf>
    <xf numFmtId="0" fontId="32" fillId="5" borderId="26" xfId="0" applyFont="1" applyFill="1" applyBorder="1" applyAlignment="1" applyProtection="1">
      <alignment horizontal="center" vertical="center"/>
      <protection hidden="1"/>
    </xf>
    <xf numFmtId="0" fontId="32" fillId="5" borderId="93" xfId="0" applyFont="1" applyFill="1" applyBorder="1" applyAlignment="1" applyProtection="1">
      <alignment horizontal="center" vertical="center"/>
    </xf>
    <xf numFmtId="0" fontId="32" fillId="5" borderId="133" xfId="0" applyFont="1" applyFill="1" applyBorder="1" applyAlignment="1" applyProtection="1">
      <alignment horizontal="center" vertical="center"/>
    </xf>
    <xf numFmtId="0" fontId="32" fillId="5" borderId="5" xfId="0" applyFont="1" applyFill="1" applyBorder="1" applyAlignment="1" applyProtection="1">
      <alignment horizontal="center" vertical="center"/>
    </xf>
    <xf numFmtId="0" fontId="32" fillId="5" borderId="26" xfId="0" applyFont="1" applyFill="1" applyBorder="1" applyAlignment="1" applyProtection="1">
      <alignment horizontal="center" vertical="center"/>
    </xf>
    <xf numFmtId="43" fontId="27" fillId="5" borderId="45" xfId="1" applyFont="1" applyFill="1" applyBorder="1" applyAlignment="1" applyProtection="1">
      <alignment horizontal="right" vertical="center"/>
      <protection hidden="1"/>
    </xf>
    <xf numFmtId="43" fontId="32" fillId="5" borderId="165" xfId="1" applyFont="1" applyFill="1" applyBorder="1" applyAlignment="1" applyProtection="1">
      <alignment horizontal="left" vertical="center"/>
    </xf>
    <xf numFmtId="43" fontId="27" fillId="5" borderId="41" xfId="1" applyFont="1" applyFill="1" applyBorder="1" applyAlignment="1" applyProtection="1">
      <alignment horizontal="right" vertical="center"/>
      <protection hidden="1"/>
    </xf>
    <xf numFmtId="0" fontId="7" fillId="5" borderId="0" xfId="0" applyFont="1" applyFill="1" applyBorder="1" applyProtection="1"/>
    <xf numFmtId="2" fontId="30" fillId="5" borderId="77" xfId="0" applyNumberFormat="1" applyFont="1" applyFill="1" applyBorder="1" applyAlignment="1" applyProtection="1">
      <alignment horizontal="center" vertical="center"/>
    </xf>
    <xf numFmtId="0" fontId="4" fillId="5" borderId="93" xfId="0" applyFont="1" applyFill="1" applyBorder="1" applyAlignment="1" applyProtection="1">
      <alignment horizontal="center" vertical="center"/>
      <protection hidden="1"/>
    </xf>
    <xf numFmtId="2" fontId="32" fillId="5" borderId="93" xfId="0" applyNumberFormat="1" applyFont="1" applyFill="1" applyBorder="1" applyAlignment="1" applyProtection="1">
      <alignment horizontal="center" vertical="center"/>
      <protection hidden="1"/>
    </xf>
    <xf numFmtId="2" fontId="9" fillId="5" borderId="0" xfId="0" applyNumberFormat="1" applyFont="1" applyFill="1" applyBorder="1" applyAlignment="1" applyProtection="1">
      <alignment horizontal="center" vertical="center"/>
      <protection hidden="1"/>
    </xf>
    <xf numFmtId="2" fontId="48" fillId="5" borderId="77" xfId="0" applyNumberFormat="1" applyFont="1" applyFill="1" applyBorder="1" applyAlignment="1" applyProtection="1">
      <alignment horizontal="center" vertical="center"/>
    </xf>
    <xf numFmtId="168" fontId="48" fillId="5" borderId="26" xfId="0" applyNumberFormat="1" applyFont="1" applyFill="1" applyBorder="1" applyAlignment="1" applyProtection="1">
      <alignment horizontal="center" vertical="center"/>
    </xf>
    <xf numFmtId="2" fontId="32" fillId="5" borderId="5" xfId="0" applyNumberFormat="1" applyFont="1" applyFill="1" applyBorder="1" applyAlignment="1" applyProtection="1">
      <alignment horizontal="center" vertical="center"/>
    </xf>
    <xf numFmtId="2" fontId="32" fillId="5" borderId="26" xfId="0" applyNumberFormat="1" applyFont="1" applyFill="1" applyBorder="1" applyAlignment="1" applyProtection="1">
      <alignment horizontal="center" vertical="center"/>
    </xf>
    <xf numFmtId="0" fontId="27" fillId="5" borderId="130" xfId="0" applyFont="1" applyFill="1" applyBorder="1" applyAlignment="1" applyProtection="1">
      <alignment vertical="center"/>
      <protection hidden="1"/>
    </xf>
    <xf numFmtId="0" fontId="27" fillId="5" borderId="131" xfId="0" applyFont="1" applyFill="1" applyBorder="1" applyAlignment="1" applyProtection="1">
      <alignment vertical="center"/>
      <protection hidden="1"/>
    </xf>
    <xf numFmtId="0" fontId="27" fillId="5" borderId="190" xfId="0" applyFont="1" applyFill="1" applyBorder="1" applyAlignment="1" applyProtection="1">
      <alignment vertical="center"/>
      <protection hidden="1"/>
    </xf>
    <xf numFmtId="0" fontId="27" fillId="5" borderId="0" xfId="0" applyFont="1" applyFill="1" applyBorder="1" applyAlignment="1" applyProtection="1">
      <alignment vertical="center"/>
      <protection hidden="1"/>
    </xf>
    <xf numFmtId="176" fontId="30" fillId="5" borderId="26" xfId="0" applyNumberFormat="1" applyFont="1" applyFill="1" applyBorder="1" applyAlignment="1" applyProtection="1">
      <alignment horizontal="center" vertical="center"/>
    </xf>
    <xf numFmtId="0" fontId="32" fillId="5" borderId="190" xfId="0" applyFont="1" applyFill="1" applyBorder="1" applyAlignment="1" applyProtection="1">
      <alignment vertical="center"/>
      <protection hidden="1"/>
    </xf>
    <xf numFmtId="2" fontId="4" fillId="5" borderId="41" xfId="0" applyNumberFormat="1" applyFont="1" applyFill="1" applyBorder="1" applyAlignment="1" applyProtection="1">
      <alignment horizontal="left" vertical="center"/>
      <protection hidden="1"/>
    </xf>
    <xf numFmtId="2" fontId="32" fillId="5" borderId="191" xfId="0" applyNumberFormat="1" applyFont="1" applyFill="1" applyBorder="1" applyAlignment="1" applyProtection="1">
      <alignment horizontal="center" vertical="center"/>
      <protection hidden="1"/>
    </xf>
    <xf numFmtId="2" fontId="27" fillId="5" borderId="192" xfId="0" applyNumberFormat="1" applyFont="1" applyFill="1" applyBorder="1" applyAlignment="1" applyProtection="1">
      <alignment horizontal="center" vertical="center"/>
      <protection hidden="1"/>
    </xf>
    <xf numFmtId="2" fontId="32" fillId="5" borderId="53" xfId="0" applyNumberFormat="1" applyFont="1" applyFill="1" applyBorder="1" applyAlignment="1" applyProtection="1">
      <alignment horizontal="center" vertical="center"/>
      <protection hidden="1"/>
    </xf>
    <xf numFmtId="2" fontId="32" fillId="5" borderId="61" xfId="0" applyNumberFormat="1" applyFont="1" applyFill="1" applyBorder="1" applyAlignment="1" applyProtection="1">
      <alignment horizontal="center" vertical="center"/>
      <protection hidden="1"/>
    </xf>
    <xf numFmtId="2" fontId="32" fillId="5" borderId="53" xfId="0" applyNumberFormat="1" applyFont="1" applyFill="1" applyBorder="1" applyAlignment="1" applyProtection="1">
      <alignment horizontal="center" vertical="center"/>
    </xf>
    <xf numFmtId="2" fontId="32" fillId="5" borderId="61" xfId="0" applyNumberFormat="1" applyFont="1" applyFill="1" applyBorder="1" applyAlignment="1" applyProtection="1">
      <alignment horizontal="center" vertical="center"/>
    </xf>
    <xf numFmtId="0" fontId="47" fillId="5" borderId="192" xfId="0" applyFont="1" applyFill="1" applyBorder="1" applyProtection="1"/>
    <xf numFmtId="0" fontId="27" fillId="5" borderId="57" xfId="0" applyFont="1" applyFill="1" applyBorder="1" applyAlignment="1" applyProtection="1">
      <alignment vertical="center"/>
      <protection hidden="1"/>
    </xf>
    <xf numFmtId="169" fontId="7" fillId="5" borderId="6" xfId="1" applyNumberFormat="1" applyFont="1" applyFill="1" applyBorder="1" applyAlignment="1" applyProtection="1">
      <alignment horizontal="left" vertical="center" wrapText="1"/>
      <protection locked="0"/>
    </xf>
    <xf numFmtId="10" fontId="20" fillId="0" borderId="25" xfId="0" applyNumberFormat="1" applyFont="1" applyFill="1" applyBorder="1" applyAlignment="1">
      <alignment horizontal="center" vertical="center"/>
    </xf>
    <xf numFmtId="10" fontId="20" fillId="0" borderId="6" xfId="0" applyNumberFormat="1" applyFont="1" applyFill="1" applyBorder="1" applyAlignment="1">
      <alignment horizontal="center" vertical="center"/>
    </xf>
    <xf numFmtId="10" fontId="20" fillId="0" borderId="99" xfId="0" applyNumberFormat="1" applyFont="1" applyFill="1" applyBorder="1" applyAlignment="1">
      <alignment horizontal="center" vertical="center"/>
    </xf>
    <xf numFmtId="10" fontId="20" fillId="0" borderId="2" xfId="0" applyNumberFormat="1" applyFont="1" applyFill="1" applyBorder="1" applyAlignment="1">
      <alignment horizontal="center" vertical="center"/>
    </xf>
    <xf numFmtId="10" fontId="20" fillId="0" borderId="1" xfId="0" applyNumberFormat="1" applyFont="1" applyFill="1" applyBorder="1" applyAlignment="1">
      <alignment horizontal="center" vertical="center"/>
    </xf>
    <xf numFmtId="10" fontId="20" fillId="0" borderId="26" xfId="0" applyNumberFormat="1" applyFont="1" applyFill="1" applyBorder="1" applyAlignment="1">
      <alignment horizontal="center" vertical="center"/>
    </xf>
    <xf numFmtId="0" fontId="6" fillId="0" borderId="0" xfId="0" applyFont="1" applyAlignment="1">
      <alignment horizontal="center"/>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17" fillId="0" borderId="91" xfId="0" applyFont="1" applyBorder="1" applyAlignment="1">
      <alignment horizontal="center" vertical="center"/>
    </xf>
    <xf numFmtId="0" fontId="17" fillId="0" borderId="67" xfId="0" applyFont="1" applyBorder="1" applyAlignment="1">
      <alignment horizontal="center" vertical="center"/>
    </xf>
    <xf numFmtId="0" fontId="11" fillId="0" borderId="62"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106" xfId="0" applyFont="1" applyBorder="1" applyAlignment="1">
      <alignment horizontal="center" vertical="center" wrapText="1"/>
    </xf>
    <xf numFmtId="0" fontId="11" fillId="0" borderId="107" xfId="0" applyFont="1" applyBorder="1" applyAlignment="1">
      <alignment horizontal="center" vertical="center" wrapText="1"/>
    </xf>
    <xf numFmtId="0" fontId="26" fillId="0" borderId="71" xfId="0" applyFont="1" applyBorder="1" applyAlignment="1">
      <alignment horizontal="center" vertical="center"/>
    </xf>
    <xf numFmtId="0" fontId="26" fillId="0" borderId="57" xfId="0" applyFont="1" applyBorder="1" applyAlignment="1">
      <alignment horizontal="center" vertical="center"/>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26" fillId="0" borderId="58" xfId="0" applyFont="1" applyBorder="1" applyAlignment="1">
      <alignment horizontal="center" vertical="center"/>
    </xf>
    <xf numFmtId="0" fontId="26" fillId="0" borderId="74" xfId="0" applyFont="1" applyBorder="1" applyAlignment="1">
      <alignment horizontal="center" vertical="center"/>
    </xf>
    <xf numFmtId="0" fontId="25" fillId="0" borderId="81" xfId="0" applyFont="1" applyBorder="1" applyAlignment="1">
      <alignment horizontal="center" vertical="center" wrapText="1"/>
    </xf>
    <xf numFmtId="0" fontId="25" fillId="0" borderId="80" xfId="0" applyFont="1" applyBorder="1" applyAlignment="1">
      <alignment horizontal="center" vertical="center" wrapText="1"/>
    </xf>
    <xf numFmtId="43" fontId="25" fillId="0" borderId="113" xfId="1" applyFont="1" applyFill="1" applyBorder="1" applyAlignment="1">
      <alignment horizontal="center" vertical="center"/>
    </xf>
    <xf numFmtId="43" fontId="25" fillId="0" borderId="58" xfId="1" applyFont="1" applyFill="1" applyBorder="1" applyAlignment="1">
      <alignment horizontal="center" vertical="center"/>
    </xf>
    <xf numFmtId="2" fontId="21" fillId="0" borderId="12" xfId="0" applyNumberFormat="1" applyFont="1" applyBorder="1" applyAlignment="1">
      <alignment horizontal="center" vertical="center"/>
    </xf>
    <xf numFmtId="2" fontId="21" fillId="0" borderId="68" xfId="0" applyNumberFormat="1" applyFont="1" applyBorder="1" applyAlignment="1">
      <alignment horizontal="center" vertical="center"/>
    </xf>
    <xf numFmtId="2" fontId="21" fillId="0" borderId="37" xfId="0" applyNumberFormat="1" applyFont="1" applyBorder="1" applyAlignment="1">
      <alignment horizontal="center" vertical="center" textRotation="90"/>
    </xf>
    <xf numFmtId="2" fontId="21" fillId="0" borderId="7" xfId="0" applyNumberFormat="1" applyFont="1" applyBorder="1" applyAlignment="1">
      <alignment horizontal="center" vertical="center" textRotation="90"/>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12" fillId="0" borderId="102"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6" xfId="0" applyFont="1" applyBorder="1" applyAlignment="1">
      <alignment horizontal="center" vertical="center" wrapText="1"/>
    </xf>
    <xf numFmtId="2" fontId="21" fillId="3" borderId="11" xfId="0" applyNumberFormat="1" applyFont="1" applyFill="1" applyBorder="1" applyAlignment="1">
      <alignment horizontal="center" vertical="center"/>
    </xf>
    <xf numFmtId="2" fontId="21" fillId="3" borderId="66" xfId="0" applyNumberFormat="1" applyFont="1" applyFill="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43" fontId="25" fillId="0" borderId="77" xfId="1" applyFont="1" applyFill="1" applyBorder="1" applyAlignment="1">
      <alignment horizontal="center" vertical="center"/>
    </xf>
    <xf numFmtId="43" fontId="25" fillId="0" borderId="66" xfId="1" applyFont="1" applyFill="1" applyBorder="1" applyAlignment="1">
      <alignment horizontal="center" vertical="center"/>
    </xf>
    <xf numFmtId="0" fontId="12" fillId="0" borderId="112"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101" xfId="0" applyFont="1" applyBorder="1" applyAlignment="1">
      <alignment horizontal="center" vertical="center" wrapText="1"/>
    </xf>
    <xf numFmtId="0" fontId="55" fillId="13" borderId="170" xfId="0" applyFont="1" applyFill="1" applyBorder="1" applyAlignment="1">
      <alignment horizontal="left" vertical="center" wrapText="1"/>
    </xf>
    <xf numFmtId="0" fontId="54" fillId="13" borderId="0" xfId="0" applyFont="1" applyFill="1" applyAlignment="1">
      <alignment horizontal="left" vertical="center"/>
    </xf>
    <xf numFmtId="0" fontId="53" fillId="13" borderId="58" xfId="0" applyFont="1" applyFill="1" applyBorder="1" applyAlignment="1">
      <alignment horizontal="center" vertical="center"/>
    </xf>
    <xf numFmtId="0" fontId="55" fillId="13" borderId="169" xfId="0" applyFont="1" applyFill="1" applyBorder="1" applyAlignment="1">
      <alignment horizontal="left" vertical="top" wrapText="1"/>
    </xf>
    <xf numFmtId="0" fontId="55" fillId="13" borderId="169" xfId="0" applyFont="1" applyFill="1" applyBorder="1" applyAlignment="1">
      <alignment horizontal="left" vertical="top"/>
    </xf>
    <xf numFmtId="0" fontId="55" fillId="13" borderId="170" xfId="0" applyFont="1" applyFill="1" applyBorder="1" applyAlignment="1">
      <alignment horizontal="left" vertical="center"/>
    </xf>
    <xf numFmtId="0" fontId="55" fillId="13" borderId="169" xfId="0" applyFont="1" applyFill="1" applyBorder="1" applyAlignment="1">
      <alignment horizontal="left" vertical="center" wrapText="1"/>
    </xf>
    <xf numFmtId="0" fontId="55" fillId="13" borderId="169" xfId="0" applyFont="1" applyFill="1" applyBorder="1" applyAlignment="1">
      <alignment horizontal="left" vertical="center"/>
    </xf>
    <xf numFmtId="0" fontId="55" fillId="13" borderId="66" xfId="0" applyFont="1" applyFill="1" applyBorder="1" applyAlignment="1">
      <alignment horizontal="left" vertical="top" wrapText="1"/>
    </xf>
    <xf numFmtId="0" fontId="60" fillId="5" borderId="177" xfId="0" applyFont="1" applyFill="1" applyBorder="1" applyAlignment="1">
      <alignment horizontal="center" vertical="center" wrapText="1"/>
    </xf>
    <xf numFmtId="0" fontId="60" fillId="5" borderId="178" xfId="0" applyFont="1" applyFill="1" applyBorder="1" applyAlignment="1">
      <alignment horizontal="center" vertical="center" wrapText="1"/>
    </xf>
    <xf numFmtId="0" fontId="60" fillId="5" borderId="179" xfId="0" applyFont="1" applyFill="1" applyBorder="1" applyAlignment="1">
      <alignment horizontal="center" vertical="center" wrapText="1"/>
    </xf>
    <xf numFmtId="0" fontId="60" fillId="5" borderId="73" xfId="0" applyFont="1" applyFill="1" applyBorder="1" applyAlignment="1">
      <alignment horizontal="center" vertical="center" wrapText="1"/>
    </xf>
    <xf numFmtId="0" fontId="60" fillId="5" borderId="58" xfId="0" applyFont="1" applyFill="1" applyBorder="1" applyAlignment="1">
      <alignment horizontal="center" vertical="center" wrapText="1"/>
    </xf>
    <xf numFmtId="0" fontId="60" fillId="5" borderId="76" xfId="0" applyFont="1" applyFill="1" applyBorder="1" applyAlignment="1">
      <alignment horizontal="center" vertical="center" wrapText="1"/>
    </xf>
    <xf numFmtId="0" fontId="29" fillId="5" borderId="24" xfId="0" applyFont="1" applyFill="1" applyBorder="1" applyAlignment="1">
      <alignment horizontal="center" textRotation="90" wrapText="1"/>
    </xf>
    <xf numFmtId="0" fontId="29" fillId="5" borderId="19" xfId="0" applyFont="1" applyFill="1" applyBorder="1" applyAlignment="1">
      <alignment horizontal="center" textRotation="90" wrapText="1"/>
    </xf>
    <xf numFmtId="0" fontId="29" fillId="5" borderId="6" xfId="0" applyFont="1" applyFill="1" applyBorder="1" applyAlignment="1">
      <alignment horizontal="center" textRotation="90" wrapText="1"/>
    </xf>
    <xf numFmtId="0" fontId="59" fillId="5" borderId="24" xfId="0" applyFont="1" applyFill="1" applyBorder="1" applyAlignment="1">
      <alignment horizontal="center" vertical="center" wrapText="1"/>
    </xf>
    <xf numFmtId="0" fontId="59" fillId="5" borderId="19" xfId="0" applyFont="1" applyFill="1" applyBorder="1" applyAlignment="1">
      <alignment horizontal="center" vertical="center" wrapText="1"/>
    </xf>
    <xf numFmtId="0" fontId="59" fillId="5" borderId="6" xfId="0" applyFont="1" applyFill="1" applyBorder="1" applyAlignment="1">
      <alignment horizontal="center" vertical="center" wrapText="1"/>
    </xf>
    <xf numFmtId="0" fontId="59" fillId="5" borderId="1" xfId="0" applyFont="1" applyFill="1" applyBorder="1" applyAlignment="1">
      <alignment horizontal="center" vertical="center"/>
    </xf>
    <xf numFmtId="0" fontId="59" fillId="5" borderId="38" xfId="0" applyFont="1" applyFill="1" applyBorder="1" applyAlignment="1" applyProtection="1">
      <alignment horizontal="center" vertical="center" wrapText="1"/>
    </xf>
    <xf numFmtId="169" fontId="59" fillId="5" borderId="24" xfId="1" applyNumberFormat="1" applyFont="1" applyFill="1" applyBorder="1" applyAlignment="1">
      <alignment horizontal="center" vertical="center" wrapText="1"/>
    </xf>
    <xf numFmtId="169" fontId="59" fillId="5" borderId="19" xfId="1" applyNumberFormat="1" applyFont="1" applyFill="1" applyBorder="1" applyAlignment="1">
      <alignment horizontal="center" vertical="center" wrapText="1"/>
    </xf>
    <xf numFmtId="169" fontId="59" fillId="5" borderId="6" xfId="1" applyNumberFormat="1" applyFont="1" applyFill="1" applyBorder="1" applyAlignment="1">
      <alignment horizontal="center" vertical="center" wrapText="1"/>
    </xf>
    <xf numFmtId="0" fontId="69" fillId="5" borderId="0" xfId="0" applyFont="1" applyFill="1" applyBorder="1" applyAlignment="1" applyProtection="1">
      <alignment horizontal="center" vertical="center"/>
    </xf>
    <xf numFmtId="0" fontId="59" fillId="5" borderId="1" xfId="0" applyFont="1" applyFill="1" applyBorder="1" applyAlignment="1" applyProtection="1">
      <alignment horizontal="center" vertical="center" wrapText="1"/>
    </xf>
    <xf numFmtId="0" fontId="29" fillId="5" borderId="56" xfId="0" applyFont="1" applyFill="1" applyBorder="1" applyAlignment="1">
      <alignment horizontal="center" vertical="center" wrapText="1"/>
    </xf>
    <xf numFmtId="0" fontId="59" fillId="5" borderId="137" xfId="0" applyFont="1" applyFill="1" applyBorder="1" applyAlignment="1">
      <alignment horizontal="center" vertical="center"/>
    </xf>
    <xf numFmtId="0" fontId="32" fillId="5" borderId="1" xfId="0" applyFont="1" applyFill="1" applyBorder="1" applyAlignment="1">
      <alignment horizontal="center" vertical="center"/>
    </xf>
    <xf numFmtId="0" fontId="32" fillId="5" borderId="41" xfId="0" applyFont="1" applyFill="1" applyBorder="1" applyAlignment="1">
      <alignment horizontal="center" vertical="center"/>
    </xf>
    <xf numFmtId="0" fontId="59" fillId="5" borderId="2" xfId="0" applyFont="1" applyFill="1" applyBorder="1" applyAlignment="1" applyProtection="1">
      <alignment horizontal="center" vertical="center" wrapText="1"/>
    </xf>
    <xf numFmtId="0" fontId="60" fillId="5" borderId="1" xfId="0" applyFont="1" applyFill="1" applyBorder="1" applyAlignment="1" applyProtection="1">
      <alignment horizontal="center" vertical="center"/>
    </xf>
    <xf numFmtId="0" fontId="30" fillId="5" borderId="173" xfId="0" applyFont="1" applyFill="1" applyBorder="1" applyAlignment="1">
      <alignment horizontal="center" vertical="center"/>
    </xf>
    <xf numFmtId="0" fontId="30" fillId="5" borderId="137" xfId="0" applyFont="1" applyFill="1" applyBorder="1" applyAlignment="1">
      <alignment horizontal="center" vertical="center"/>
    </xf>
    <xf numFmtId="0" fontId="30" fillId="5" borderId="172" xfId="0" applyFont="1" applyFill="1" applyBorder="1" applyAlignment="1">
      <alignment horizontal="center" vertical="center"/>
    </xf>
    <xf numFmtId="0" fontId="59" fillId="5" borderId="173" xfId="0" applyFont="1" applyFill="1" applyBorder="1" applyAlignment="1">
      <alignment horizontal="center" vertical="center"/>
    </xf>
    <xf numFmtId="0" fontId="59" fillId="5" borderId="172" xfId="0" applyFont="1" applyFill="1" applyBorder="1" applyAlignment="1">
      <alignment horizontal="center" vertical="center"/>
    </xf>
    <xf numFmtId="0" fontId="28" fillId="0" borderId="1" xfId="0" applyFont="1" applyBorder="1" applyAlignment="1" applyProtection="1">
      <alignment horizontal="center" vertical="center" wrapText="1"/>
      <protection hidden="1"/>
    </xf>
    <xf numFmtId="14" fontId="28" fillId="15" borderId="41" xfId="0" applyNumberFormat="1" applyFont="1" applyFill="1" applyBorder="1" applyAlignment="1" applyProtection="1">
      <alignment horizontal="center" vertical="center"/>
      <protection hidden="1"/>
    </xf>
    <xf numFmtId="14" fontId="28" fillId="15" borderId="66" xfId="0" applyNumberFormat="1" applyFont="1" applyFill="1" applyBorder="1" applyAlignment="1" applyProtection="1">
      <alignment horizontal="center" vertical="center"/>
      <protection hidden="1"/>
    </xf>
    <xf numFmtId="14" fontId="28" fillId="15" borderId="38" xfId="0" applyNumberFormat="1" applyFont="1" applyFill="1" applyBorder="1" applyAlignment="1" applyProtection="1">
      <alignment horizontal="center" vertical="center"/>
      <protection hidden="1"/>
    </xf>
    <xf numFmtId="14" fontId="28" fillId="15" borderId="175" xfId="0" applyNumberFormat="1" applyFont="1" applyFill="1" applyBorder="1" applyAlignment="1" applyProtection="1">
      <alignment horizontal="center" vertical="center"/>
      <protection hidden="1"/>
    </xf>
    <xf numFmtId="0" fontId="19" fillId="15" borderId="0" xfId="0" applyFont="1" applyFill="1" applyAlignment="1" applyProtection="1">
      <alignment horizontal="center" vertical="center"/>
      <protection hidden="1"/>
    </xf>
    <xf numFmtId="0" fontId="39" fillId="15" borderId="0" xfId="0" applyFont="1" applyFill="1" applyAlignment="1" applyProtection="1">
      <alignment horizontal="center" vertical="center"/>
      <protection hidden="1"/>
    </xf>
    <xf numFmtId="0" fontId="26" fillId="15" borderId="0" xfId="0" applyFont="1" applyFill="1" applyAlignment="1" applyProtection="1">
      <alignment horizontal="center" vertical="center"/>
      <protection hidden="1"/>
    </xf>
    <xf numFmtId="0" fontId="28" fillId="15" borderId="37" xfId="0" applyFont="1" applyFill="1" applyBorder="1" applyAlignment="1" applyProtection="1">
      <alignment horizontal="center" vertical="center"/>
      <protection hidden="1"/>
    </xf>
    <xf numFmtId="0" fontId="28" fillId="15" borderId="36" xfId="0" applyFont="1" applyFill="1" applyBorder="1" applyAlignment="1" applyProtection="1">
      <alignment horizontal="center" vertical="center"/>
      <protection hidden="1"/>
    </xf>
    <xf numFmtId="0" fontId="28" fillId="15" borderId="22" xfId="0" applyFont="1" applyFill="1" applyBorder="1" applyAlignment="1" applyProtection="1">
      <alignment horizontal="center" vertical="center"/>
      <protection hidden="1"/>
    </xf>
    <xf numFmtId="0" fontId="28" fillId="15" borderId="4" xfId="0" applyFont="1" applyFill="1" applyBorder="1" applyAlignment="1" applyProtection="1">
      <alignment horizontal="center" vertical="center"/>
      <protection hidden="1"/>
    </xf>
    <xf numFmtId="0" fontId="28" fillId="15" borderId="36" xfId="0" applyFont="1" applyFill="1" applyBorder="1" applyAlignment="1" applyProtection="1">
      <alignment horizontal="center" vertical="center" wrapText="1"/>
      <protection hidden="1"/>
    </xf>
    <xf numFmtId="0" fontId="28" fillId="15" borderId="4" xfId="0" applyFont="1" applyFill="1" applyBorder="1" applyAlignment="1" applyProtection="1">
      <alignment horizontal="center" vertical="center" wrapText="1"/>
      <protection hidden="1"/>
    </xf>
    <xf numFmtId="0" fontId="28" fillId="15" borderId="13" xfId="0" applyFont="1" applyFill="1" applyBorder="1" applyAlignment="1" applyProtection="1">
      <alignment horizontal="center" vertical="center" wrapText="1"/>
      <protection hidden="1"/>
    </xf>
    <xf numFmtId="0" fontId="28" fillId="15" borderId="164" xfId="0" applyFont="1" applyFill="1" applyBorder="1" applyAlignment="1" applyProtection="1">
      <alignment horizontal="center" vertical="center" wrapText="1"/>
      <protection hidden="1"/>
    </xf>
    <xf numFmtId="0" fontId="28" fillId="15" borderId="17" xfId="0" applyFont="1" applyFill="1" applyBorder="1" applyAlignment="1" applyProtection="1">
      <alignment horizontal="center" vertical="center" wrapText="1"/>
      <protection hidden="1"/>
    </xf>
    <xf numFmtId="0" fontId="28" fillId="15" borderId="124" xfId="0" applyFont="1" applyFill="1" applyBorder="1" applyAlignment="1" applyProtection="1">
      <alignment horizontal="center" vertical="center" wrapText="1"/>
      <protection hidden="1"/>
    </xf>
    <xf numFmtId="0" fontId="28" fillId="15" borderId="18" xfId="0" applyFont="1" applyFill="1" applyBorder="1" applyAlignment="1" applyProtection="1">
      <alignment horizontal="center" vertical="center" wrapText="1"/>
      <protection hidden="1"/>
    </xf>
    <xf numFmtId="0" fontId="28" fillId="15" borderId="44" xfId="0" applyFont="1" applyFill="1" applyBorder="1" applyAlignment="1" applyProtection="1">
      <alignment horizontal="center" vertical="center" wrapText="1"/>
      <protection hidden="1"/>
    </xf>
    <xf numFmtId="0" fontId="28" fillId="15" borderId="115" xfId="0" applyFont="1" applyFill="1" applyBorder="1" applyAlignment="1" applyProtection="1">
      <alignment horizontal="center" vertical="center" wrapText="1"/>
      <protection hidden="1"/>
    </xf>
    <xf numFmtId="0" fontId="28" fillId="15" borderId="183" xfId="0" applyFont="1" applyFill="1" applyBorder="1" applyAlignment="1" applyProtection="1">
      <alignment horizontal="center" vertical="center" wrapText="1"/>
      <protection hidden="1"/>
    </xf>
    <xf numFmtId="0" fontId="28" fillId="15" borderId="66" xfId="0" applyFont="1" applyFill="1" applyBorder="1" applyAlignment="1" applyProtection="1">
      <alignment horizontal="center" vertical="center" wrapText="1"/>
      <protection hidden="1"/>
    </xf>
    <xf numFmtId="0" fontId="28" fillId="15" borderId="38"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14" fontId="28" fillId="3" borderId="41" xfId="0" applyNumberFormat="1" applyFont="1" applyFill="1" applyBorder="1" applyAlignment="1" applyProtection="1">
      <alignment horizontal="center" vertical="center"/>
      <protection hidden="1"/>
    </xf>
    <xf numFmtId="14" fontId="28" fillId="3" borderId="66" xfId="0" applyNumberFormat="1" applyFont="1" applyFill="1" applyBorder="1" applyAlignment="1" applyProtection="1">
      <alignment horizontal="center" vertical="center"/>
      <protection hidden="1"/>
    </xf>
    <xf numFmtId="14" fontId="28" fillId="3" borderId="38" xfId="0" applyNumberFormat="1" applyFont="1" applyFill="1" applyBorder="1" applyAlignment="1" applyProtection="1">
      <alignment horizontal="center" vertical="center"/>
      <protection hidden="1"/>
    </xf>
    <xf numFmtId="0" fontId="28" fillId="15" borderId="180" xfId="0" applyFont="1" applyFill="1" applyBorder="1" applyAlignment="1" applyProtection="1">
      <alignment horizontal="center" vertical="center" wrapText="1"/>
      <protection hidden="1"/>
    </xf>
    <xf numFmtId="0" fontId="28" fillId="15" borderId="181" xfId="0" applyFont="1" applyFill="1" applyBorder="1" applyAlignment="1" applyProtection="1">
      <alignment horizontal="center" vertical="center" wrapText="1"/>
      <protection hidden="1"/>
    </xf>
    <xf numFmtId="0" fontId="28" fillId="15" borderId="1" xfId="0" applyFont="1" applyFill="1" applyBorder="1" applyAlignment="1" applyProtection="1">
      <alignment horizontal="center" vertical="center"/>
      <protection hidden="1"/>
    </xf>
    <xf numFmtId="0" fontId="28" fillId="15" borderId="1"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115" xfId="0" applyFont="1" applyBorder="1" applyAlignment="1">
      <alignment horizontal="center" vertical="center" wrapText="1"/>
    </xf>
    <xf numFmtId="0" fontId="3" fillId="0" borderId="56" xfId="0" applyFont="1" applyBorder="1" applyAlignment="1">
      <alignment horizontal="center" vertical="center" wrapText="1"/>
    </xf>
    <xf numFmtId="0" fontId="3" fillId="15" borderId="182" xfId="0" applyFont="1" applyFill="1" applyBorder="1" applyAlignment="1" applyProtection="1">
      <alignment horizontal="center" vertical="center" wrapText="1"/>
      <protection hidden="1"/>
    </xf>
    <xf numFmtId="0" fontId="3" fillId="15" borderId="104" xfId="0" applyFont="1" applyFill="1" applyBorder="1" applyAlignment="1" applyProtection="1">
      <alignment horizontal="center" vertical="center" wrapText="1"/>
      <protection hidden="1"/>
    </xf>
    <xf numFmtId="0" fontId="3" fillId="15" borderId="101" xfId="0" applyFont="1" applyFill="1" applyBorder="1" applyAlignment="1" applyProtection="1">
      <alignment horizontal="center" vertical="center" wrapText="1"/>
      <protection hidden="1"/>
    </xf>
    <xf numFmtId="2" fontId="28" fillId="15" borderId="160" xfId="0" applyNumberFormat="1" applyFont="1" applyFill="1" applyBorder="1" applyAlignment="1" applyProtection="1">
      <alignment horizontal="center" vertical="center" wrapText="1"/>
      <protection hidden="1"/>
    </xf>
    <xf numFmtId="0" fontId="3" fillId="15" borderId="161" xfId="0" applyFont="1" applyFill="1" applyBorder="1" applyAlignment="1" applyProtection="1">
      <alignment horizontal="center" vertical="center" wrapText="1"/>
      <protection hidden="1"/>
    </xf>
    <xf numFmtId="2" fontId="28" fillId="15" borderId="163" xfId="0" applyNumberFormat="1" applyFont="1" applyFill="1" applyBorder="1" applyAlignment="1" applyProtection="1">
      <alignment horizontal="center" vertical="center" wrapText="1"/>
      <protection hidden="1"/>
    </xf>
    <xf numFmtId="0" fontId="3" fillId="15" borderId="142" xfId="0" applyFont="1" applyFill="1" applyBorder="1" applyAlignment="1" applyProtection="1">
      <alignment horizontal="center" vertical="center" wrapText="1"/>
      <protection hidden="1"/>
    </xf>
    <xf numFmtId="0" fontId="31" fillId="0" borderId="3" xfId="0" applyFont="1" applyBorder="1" applyAlignment="1">
      <alignment vertical="center" wrapText="1"/>
    </xf>
    <xf numFmtId="0" fontId="31" fillId="0" borderId="4" xfId="0" applyFont="1" applyBorder="1" applyAlignment="1">
      <alignment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1" fillId="0" borderId="2" xfId="0" applyFont="1" applyBorder="1" applyAlignment="1">
      <alignment vertical="center" wrapText="1"/>
    </xf>
    <xf numFmtId="2" fontId="4" fillId="5" borderId="5" xfId="0" applyNumberFormat="1" applyFont="1" applyFill="1" applyBorder="1" applyAlignment="1" applyProtection="1">
      <alignment horizontal="center" vertical="center"/>
      <protection hidden="1"/>
    </xf>
    <xf numFmtId="2" fontId="27" fillId="5" borderId="53" xfId="0" applyNumberFormat="1" applyFont="1" applyFill="1" applyBorder="1" applyAlignment="1" applyProtection="1">
      <alignment horizontal="center" vertical="center"/>
      <protection hidden="1"/>
    </xf>
    <xf numFmtId="2" fontId="27" fillId="5" borderId="59" xfId="0" applyNumberFormat="1" applyFont="1" applyFill="1" applyBorder="1" applyAlignment="1" applyProtection="1">
      <alignment horizontal="center" vertical="center"/>
      <protection hidden="1"/>
    </xf>
    <xf numFmtId="0" fontId="27" fillId="5" borderId="5" xfId="0" applyFont="1" applyFill="1" applyBorder="1" applyAlignment="1" applyProtection="1">
      <alignment horizontal="left" vertical="center"/>
      <protection hidden="1"/>
    </xf>
    <xf numFmtId="0" fontId="27" fillId="5" borderId="41" xfId="0" applyFont="1" applyFill="1" applyBorder="1" applyAlignment="1" applyProtection="1">
      <alignment horizontal="left" vertical="center"/>
      <protection hidden="1"/>
    </xf>
    <xf numFmtId="0" fontId="27" fillId="5" borderId="109" xfId="0" applyFont="1" applyFill="1" applyBorder="1" applyAlignment="1" applyProtection="1">
      <alignment horizontal="left" vertical="center"/>
      <protection hidden="1"/>
    </xf>
    <xf numFmtId="2" fontId="28" fillId="12" borderId="135" xfId="0" applyNumberFormat="1" applyFont="1" applyFill="1" applyBorder="1" applyAlignment="1" applyProtection="1">
      <alignment horizontal="center" vertical="center"/>
      <protection hidden="1"/>
    </xf>
    <xf numFmtId="2" fontId="28" fillId="12" borderId="155" xfId="0" applyNumberFormat="1" applyFont="1" applyFill="1" applyBorder="1" applyAlignment="1" applyProtection="1">
      <alignment horizontal="center" vertical="center"/>
      <protection hidden="1"/>
    </xf>
    <xf numFmtId="0" fontId="27" fillId="5" borderId="92" xfId="0" applyFont="1" applyFill="1" applyBorder="1" applyAlignment="1" applyProtection="1">
      <alignment horizontal="left" vertical="center"/>
      <protection hidden="1"/>
    </xf>
    <xf numFmtId="0" fontId="27" fillId="5" borderId="46" xfId="0" applyFont="1" applyFill="1" applyBorder="1" applyAlignment="1" applyProtection="1">
      <alignment horizontal="left" vertical="center"/>
      <protection hidden="1"/>
    </xf>
    <xf numFmtId="0" fontId="27" fillId="5" borderId="108" xfId="0" applyFont="1" applyFill="1" applyBorder="1" applyAlignment="1" applyProtection="1">
      <alignment horizontal="left" vertical="center"/>
      <protection hidden="1"/>
    </xf>
    <xf numFmtId="43" fontId="27" fillId="5" borderId="116" xfId="1" applyFont="1" applyFill="1" applyBorder="1" applyAlignment="1" applyProtection="1">
      <alignment horizontal="left" vertical="center"/>
      <protection hidden="1"/>
    </xf>
    <xf numFmtId="43" fontId="27" fillId="5" borderId="44" xfId="1" applyFont="1" applyFill="1" applyBorder="1" applyAlignment="1" applyProtection="1">
      <alignment horizontal="left" vertical="center"/>
      <protection hidden="1"/>
    </xf>
    <xf numFmtId="43" fontId="27" fillId="5" borderId="188" xfId="1" applyFont="1" applyFill="1" applyBorder="1" applyAlignment="1" applyProtection="1">
      <alignment horizontal="left" vertical="center"/>
      <protection hidden="1"/>
    </xf>
    <xf numFmtId="0" fontId="24" fillId="5" borderId="84" xfId="0" applyFont="1" applyFill="1" applyBorder="1" applyAlignment="1" applyProtection="1">
      <alignment horizontal="center" vertical="center"/>
      <protection hidden="1"/>
    </xf>
    <xf numFmtId="0" fontId="24" fillId="5" borderId="57" xfId="0" applyFont="1" applyFill="1" applyBorder="1" applyAlignment="1" applyProtection="1">
      <alignment horizontal="center" vertical="center"/>
      <protection hidden="1"/>
    </xf>
    <xf numFmtId="0" fontId="24" fillId="5" borderId="106" xfId="0" applyFont="1" applyFill="1" applyBorder="1" applyAlignment="1" applyProtection="1">
      <alignment horizontal="center" vertical="center"/>
      <protection hidden="1"/>
    </xf>
    <xf numFmtId="0" fontId="24" fillId="5" borderId="113" xfId="0" applyFont="1" applyFill="1" applyBorder="1" applyAlignment="1" applyProtection="1">
      <alignment horizontal="center" vertical="center"/>
      <protection hidden="1"/>
    </xf>
    <xf numFmtId="0" fontId="24" fillId="5" borderId="58" xfId="0" applyFont="1" applyFill="1" applyBorder="1" applyAlignment="1" applyProtection="1">
      <alignment horizontal="center" vertical="center"/>
      <protection hidden="1"/>
    </xf>
    <xf numFmtId="0" fontId="24" fillId="5" borderId="108" xfId="0" applyFont="1" applyFill="1" applyBorder="1" applyAlignment="1" applyProtection="1">
      <alignment horizontal="center" vertical="center"/>
      <protection hidden="1"/>
    </xf>
    <xf numFmtId="0" fontId="19" fillId="15" borderId="0" xfId="0" applyFont="1" applyFill="1" applyAlignment="1" applyProtection="1">
      <alignment horizontal="center"/>
      <protection hidden="1"/>
    </xf>
    <xf numFmtId="0" fontId="26" fillId="15" borderId="0" xfId="0" applyFont="1" applyFill="1" applyAlignment="1" applyProtection="1">
      <alignment horizontal="center"/>
      <protection hidden="1"/>
    </xf>
    <xf numFmtId="0" fontId="32" fillId="5" borderId="128" xfId="0" applyFont="1" applyFill="1" applyBorder="1" applyAlignment="1" applyProtection="1">
      <alignment horizontal="left" vertical="center"/>
      <protection hidden="1"/>
    </xf>
    <xf numFmtId="0" fontId="32" fillId="5" borderId="47" xfId="0" applyFont="1" applyFill="1" applyBorder="1" applyAlignment="1" applyProtection="1">
      <alignment horizontal="left" vertical="center"/>
      <protection hidden="1"/>
    </xf>
    <xf numFmtId="0" fontId="32" fillId="5" borderId="119" xfId="0" applyFont="1" applyFill="1" applyBorder="1" applyAlignment="1" applyProtection="1">
      <alignment horizontal="left" vertical="center"/>
      <protection hidden="1"/>
    </xf>
    <xf numFmtId="43" fontId="27" fillId="5" borderId="116" xfId="1" applyFont="1" applyFill="1" applyBorder="1" applyAlignment="1" applyProtection="1">
      <alignment horizontal="center" vertical="center"/>
      <protection hidden="1"/>
    </xf>
    <xf numFmtId="43" fontId="27" fillId="5" borderId="44" xfId="1" applyFont="1" applyFill="1" applyBorder="1" applyAlignment="1" applyProtection="1">
      <alignment horizontal="center" vertical="center"/>
      <protection hidden="1"/>
    </xf>
    <xf numFmtId="43" fontId="27" fillId="5" borderId="188" xfId="1" applyFont="1" applyFill="1" applyBorder="1" applyAlignment="1" applyProtection="1">
      <alignment horizontal="center" vertical="center"/>
      <protection hidden="1"/>
    </xf>
    <xf numFmtId="2" fontId="4" fillId="5" borderId="136" xfId="0" applyNumberFormat="1" applyFont="1" applyFill="1" applyBorder="1" applyAlignment="1" applyProtection="1">
      <alignment horizontal="center" vertical="center" textRotation="90"/>
      <protection hidden="1"/>
    </xf>
    <xf numFmtId="2" fontId="4" fillId="5" borderId="128" xfId="0" applyNumberFormat="1" applyFont="1" applyFill="1" applyBorder="1" applyAlignment="1" applyProtection="1">
      <alignment horizontal="center" vertical="center" textRotation="90"/>
      <protection hidden="1"/>
    </xf>
    <xf numFmtId="2" fontId="4" fillId="5" borderId="92" xfId="0" applyNumberFormat="1" applyFont="1" applyFill="1" applyBorder="1" applyAlignment="1" applyProtection="1">
      <alignment horizontal="center" vertical="center" textRotation="90"/>
      <protection hidden="1"/>
    </xf>
    <xf numFmtId="0" fontId="27" fillId="5" borderId="130" xfId="0" applyFont="1" applyFill="1" applyBorder="1" applyAlignment="1" applyProtection="1">
      <alignment horizontal="center" vertical="center"/>
      <protection hidden="1"/>
    </xf>
    <xf numFmtId="0" fontId="27" fillId="5" borderId="132" xfId="0" applyFont="1" applyFill="1" applyBorder="1" applyAlignment="1" applyProtection="1">
      <alignment horizontal="center" vertical="center"/>
      <protection hidden="1"/>
    </xf>
    <xf numFmtId="0" fontId="27" fillId="5" borderId="15" xfId="0" applyFont="1" applyFill="1" applyBorder="1" applyAlignment="1" applyProtection="1">
      <alignment horizontal="center" vertical="center"/>
      <protection hidden="1"/>
    </xf>
    <xf numFmtId="0" fontId="27" fillId="5" borderId="90" xfId="0" applyFont="1" applyFill="1" applyBorder="1" applyAlignment="1" applyProtection="1">
      <alignment horizontal="center" vertical="center"/>
      <protection hidden="1"/>
    </xf>
    <xf numFmtId="17" fontId="27" fillId="5" borderId="15" xfId="0" applyNumberFormat="1" applyFont="1" applyFill="1" applyBorder="1" applyAlignment="1" applyProtection="1">
      <alignment horizontal="center" vertical="center"/>
    </xf>
    <xf numFmtId="0" fontId="27" fillId="5" borderId="90" xfId="0" applyFont="1" applyFill="1" applyBorder="1" applyAlignment="1" applyProtection="1">
      <alignment horizontal="center" vertical="center"/>
    </xf>
    <xf numFmtId="17" fontId="27" fillId="5" borderId="15" xfId="0" applyNumberFormat="1" applyFont="1" applyFill="1" applyBorder="1" applyAlignment="1" applyProtection="1">
      <alignment horizontal="center" vertical="center"/>
      <protection hidden="1"/>
    </xf>
    <xf numFmtId="17" fontId="27" fillId="5" borderId="130" xfId="0" applyNumberFormat="1" applyFont="1" applyFill="1" applyBorder="1" applyAlignment="1" applyProtection="1">
      <alignment horizontal="center" vertical="center"/>
    </xf>
    <xf numFmtId="17" fontId="27" fillId="5" borderId="132" xfId="0" applyNumberFormat="1" applyFont="1" applyFill="1" applyBorder="1" applyAlignment="1" applyProtection="1">
      <alignment horizontal="center" vertical="center"/>
    </xf>
    <xf numFmtId="43" fontId="27" fillId="5" borderId="18" xfId="1" applyFont="1" applyFill="1" applyBorder="1" applyAlignment="1" applyProtection="1">
      <alignment horizontal="left" vertical="center"/>
      <protection hidden="1"/>
    </xf>
    <xf numFmtId="0" fontId="28" fillId="15" borderId="120" xfId="0" applyFont="1" applyFill="1" applyBorder="1" applyAlignment="1" applyProtection="1">
      <alignment horizontal="center" vertical="center"/>
      <protection hidden="1"/>
    </xf>
    <xf numFmtId="0" fontId="28" fillId="15" borderId="16" xfId="0" applyFont="1" applyFill="1" applyBorder="1" applyAlignment="1" applyProtection="1">
      <alignment horizontal="center" vertical="center"/>
      <protection hidden="1"/>
    </xf>
    <xf numFmtId="0" fontId="28" fillId="15" borderId="62" xfId="0" applyFont="1" applyFill="1" applyBorder="1" applyAlignment="1" applyProtection="1">
      <alignment horizontal="center" vertical="center"/>
      <protection hidden="1"/>
    </xf>
    <xf numFmtId="0" fontId="28" fillId="15" borderId="38" xfId="0" applyFont="1" applyFill="1" applyBorder="1" applyAlignment="1" applyProtection="1">
      <alignment horizontal="center" vertical="center"/>
      <protection hidden="1"/>
    </xf>
    <xf numFmtId="0" fontId="28" fillId="15" borderId="41" xfId="0" applyFont="1" applyFill="1" applyBorder="1" applyAlignment="1" applyProtection="1">
      <alignment horizontal="center" vertical="center"/>
      <protection hidden="1"/>
    </xf>
    <xf numFmtId="0" fontId="28" fillId="15" borderId="17" xfId="0" applyFont="1" applyFill="1" applyBorder="1" applyAlignment="1" applyProtection="1">
      <alignment horizontal="center" vertical="center"/>
      <protection hidden="1"/>
    </xf>
    <xf numFmtId="0" fontId="28" fillId="15" borderId="18" xfId="0" applyFont="1" applyFill="1" applyBorder="1" applyAlignment="1" applyProtection="1">
      <alignment horizontal="center" vertical="center"/>
      <protection hidden="1"/>
    </xf>
    <xf numFmtId="0" fontId="28" fillId="15" borderId="44" xfId="0" applyFont="1" applyFill="1" applyBorder="1" applyAlignment="1" applyProtection="1">
      <alignment horizontal="center" vertical="center"/>
      <protection hidden="1"/>
    </xf>
    <xf numFmtId="0" fontId="28" fillId="15" borderId="115" xfId="0" applyFont="1" applyFill="1" applyBorder="1" applyAlignment="1" applyProtection="1">
      <alignment horizontal="center" vertical="center"/>
      <protection hidden="1"/>
    </xf>
    <xf numFmtId="0" fontId="28" fillId="15" borderId="2" xfId="0" applyFont="1" applyFill="1" applyBorder="1" applyAlignment="1" applyProtection="1">
      <alignment horizontal="center" vertical="center"/>
      <protection hidden="1"/>
    </xf>
    <xf numFmtId="0" fontId="28" fillId="15" borderId="56" xfId="0" applyFont="1" applyFill="1" applyBorder="1" applyAlignment="1" applyProtection="1">
      <alignment horizontal="center" vertical="center"/>
      <protection hidden="1"/>
    </xf>
    <xf numFmtId="43" fontId="27" fillId="5" borderId="18" xfId="1" applyFont="1" applyFill="1" applyBorder="1" applyAlignment="1" applyProtection="1">
      <alignment horizontal="center" vertical="center"/>
      <protection hidden="1"/>
    </xf>
    <xf numFmtId="0" fontId="28" fillId="5" borderId="84" xfId="0" applyFont="1" applyFill="1" applyBorder="1" applyAlignment="1" applyProtection="1">
      <alignment horizontal="center" vertical="center" wrapText="1"/>
      <protection hidden="1"/>
    </xf>
    <xf numFmtId="0" fontId="28" fillId="5" borderId="72" xfId="0" applyFont="1" applyFill="1" applyBorder="1" applyAlignment="1" applyProtection="1">
      <alignment horizontal="center" vertical="center" wrapText="1"/>
      <protection hidden="1"/>
    </xf>
    <xf numFmtId="0" fontId="28" fillId="5" borderId="147" xfId="0" applyFont="1" applyFill="1" applyBorder="1" applyAlignment="1" applyProtection="1">
      <alignment horizontal="center" vertical="center" wrapText="1"/>
      <protection hidden="1"/>
    </xf>
    <xf numFmtId="0" fontId="28" fillId="5" borderId="127" xfId="0" applyFont="1" applyFill="1" applyBorder="1" applyAlignment="1" applyProtection="1">
      <alignment horizontal="center" vertical="center" wrapText="1"/>
      <protection hidden="1"/>
    </xf>
    <xf numFmtId="0" fontId="27" fillId="15" borderId="15" xfId="0" applyFont="1" applyFill="1" applyBorder="1" applyAlignment="1" applyProtection="1">
      <alignment horizontal="center" vertical="center"/>
      <protection hidden="1"/>
    </xf>
    <xf numFmtId="0" fontId="27" fillId="15" borderId="62" xfId="0" applyFont="1" applyFill="1" applyBorder="1" applyAlignment="1" applyProtection="1">
      <alignment horizontal="center" vertical="center"/>
      <protection hidden="1"/>
    </xf>
    <xf numFmtId="0" fontId="27" fillId="15" borderId="5" xfId="0" applyFont="1" applyFill="1" applyBorder="1" applyAlignment="1" applyProtection="1">
      <alignment horizontal="center" vertical="center"/>
      <protection hidden="1"/>
    </xf>
    <xf numFmtId="0" fontId="27" fillId="15" borderId="41" xfId="0" applyFont="1" applyFill="1" applyBorder="1" applyAlignment="1" applyProtection="1">
      <alignment horizontal="center" vertical="center"/>
      <protection hidden="1"/>
    </xf>
    <xf numFmtId="0" fontId="27" fillId="15" borderId="114" xfId="0" applyFont="1" applyFill="1" applyBorder="1" applyAlignment="1" applyProtection="1">
      <alignment horizontal="center" vertical="center"/>
      <protection hidden="1"/>
    </xf>
    <xf numFmtId="0" fontId="27" fillId="15" borderId="45" xfId="0" applyFont="1" applyFill="1" applyBorder="1" applyAlignment="1" applyProtection="1">
      <alignment horizontal="center" vertical="center"/>
      <protection hidden="1"/>
    </xf>
    <xf numFmtId="0" fontId="28" fillId="15" borderId="130" xfId="0" applyFont="1" applyFill="1" applyBorder="1" applyAlignment="1" applyProtection="1">
      <alignment horizontal="center" vertical="center" wrapText="1"/>
      <protection hidden="1"/>
    </xf>
    <xf numFmtId="0" fontId="28" fillId="15" borderId="77" xfId="0" applyFont="1" applyFill="1" applyBorder="1" applyAlignment="1" applyProtection="1">
      <alignment horizontal="center" vertical="center" wrapText="1"/>
      <protection hidden="1"/>
    </xf>
    <xf numFmtId="0" fontId="28" fillId="15" borderId="193" xfId="0" applyFont="1" applyFill="1" applyBorder="1" applyAlignment="1" applyProtection="1">
      <alignment horizontal="center" vertical="center" wrapText="1"/>
      <protection hidden="1"/>
    </xf>
    <xf numFmtId="0" fontId="3" fillId="0" borderId="200" xfId="0" applyFont="1" applyBorder="1" applyAlignment="1" applyProtection="1">
      <alignment horizontal="center" vertical="center"/>
      <protection hidden="1"/>
    </xf>
    <xf numFmtId="0" fontId="3" fillId="0" borderId="201" xfId="0" applyFont="1" applyBorder="1" applyAlignment="1" applyProtection="1">
      <alignment horizontal="center"/>
      <protection hidden="1"/>
    </xf>
    <xf numFmtId="0" fontId="3" fillId="0" borderId="170" xfId="0" applyFont="1" applyBorder="1" applyAlignment="1" applyProtection="1">
      <alignment horizontal="center"/>
      <protection hidden="1"/>
    </xf>
    <xf numFmtId="0" fontId="3" fillId="0" borderId="202" xfId="0" applyFont="1" applyBorder="1" applyAlignment="1" applyProtection="1">
      <alignment horizontal="center"/>
      <protection hidden="1"/>
    </xf>
    <xf numFmtId="0" fontId="18" fillId="15" borderId="0" xfId="0" applyFont="1" applyFill="1" applyAlignment="1" applyProtection="1">
      <alignment horizontal="center" vertical="center"/>
      <protection hidden="1"/>
    </xf>
    <xf numFmtId="0" fontId="40" fillId="15" borderId="0" xfId="0" applyFont="1" applyFill="1" applyAlignment="1" applyProtection="1">
      <alignment horizontal="center" vertical="center"/>
      <protection hidden="1"/>
    </xf>
    <xf numFmtId="0" fontId="10" fillId="15" borderId="0" xfId="0" applyFont="1" applyFill="1" applyAlignment="1" applyProtection="1">
      <alignment horizontal="center" vertical="center"/>
      <protection hidden="1"/>
    </xf>
    <xf numFmtId="2" fontId="28" fillId="5" borderId="117" xfId="0" applyNumberFormat="1" applyFont="1" applyFill="1" applyBorder="1" applyAlignment="1" applyProtection="1">
      <alignment horizontal="center" vertical="center"/>
      <protection hidden="1"/>
    </xf>
    <xf numFmtId="2" fontId="28" fillId="5" borderId="155" xfId="0" applyNumberFormat="1" applyFont="1" applyFill="1" applyBorder="1" applyAlignment="1" applyProtection="1">
      <alignment horizontal="center" vertical="center"/>
      <protection hidden="1"/>
    </xf>
    <xf numFmtId="2" fontId="3" fillId="5" borderId="126" xfId="0" applyNumberFormat="1" applyFont="1" applyFill="1" applyBorder="1" applyAlignment="1" applyProtection="1">
      <alignment horizontal="center" vertical="center" textRotation="90"/>
      <protection hidden="1"/>
    </xf>
    <xf numFmtId="2" fontId="3" fillId="5" borderId="35" xfId="0" applyNumberFormat="1" applyFont="1" applyFill="1" applyBorder="1" applyAlignment="1" applyProtection="1">
      <alignment horizontal="center" vertical="center" textRotation="90"/>
      <protection hidden="1"/>
    </xf>
    <xf numFmtId="2" fontId="3" fillId="5" borderId="21" xfId="0" applyNumberFormat="1" applyFont="1" applyFill="1" applyBorder="1" applyAlignment="1" applyProtection="1">
      <alignment horizontal="center" vertical="center" textRotation="90"/>
      <protection hidden="1"/>
    </xf>
    <xf numFmtId="0" fontId="7" fillId="5" borderId="41" xfId="0" applyFont="1" applyFill="1" applyBorder="1" applyAlignment="1" applyProtection="1">
      <alignment horizontal="center" vertical="center" wrapText="1"/>
      <protection hidden="1"/>
    </xf>
    <xf numFmtId="0" fontId="7" fillId="5" borderId="154" xfId="0" applyFont="1" applyFill="1" applyBorder="1" applyAlignment="1" applyProtection="1">
      <alignment horizontal="center" vertical="center" wrapText="1"/>
      <protection hidden="1"/>
    </xf>
    <xf numFmtId="0" fontId="7" fillId="5" borderId="93" xfId="0" applyFont="1" applyFill="1" applyBorder="1" applyAlignment="1" applyProtection="1">
      <alignment horizontal="center" vertical="center" wrapText="1"/>
      <protection hidden="1"/>
    </xf>
    <xf numFmtId="0" fontId="7" fillId="5" borderId="128" xfId="0" applyFont="1" applyFill="1" applyBorder="1" applyAlignment="1" applyProtection="1">
      <alignment horizontal="center" vertical="center" wrapText="1"/>
      <protection hidden="1"/>
    </xf>
    <xf numFmtId="0" fontId="7" fillId="5" borderId="26" xfId="0" applyFont="1" applyFill="1" applyBorder="1" applyAlignment="1" applyProtection="1">
      <alignment horizontal="center" vertical="center" wrapText="1"/>
      <protection hidden="1"/>
    </xf>
    <xf numFmtId="0" fontId="7" fillId="5" borderId="133" xfId="0" applyFont="1" applyFill="1" applyBorder="1" applyAlignment="1" applyProtection="1">
      <alignment horizontal="center" vertical="center" wrapText="1"/>
      <protection hidden="1"/>
    </xf>
    <xf numFmtId="0" fontId="7" fillId="5" borderId="145" xfId="0" applyFont="1" applyFill="1" applyBorder="1" applyAlignment="1" applyProtection="1">
      <alignment horizontal="center" vertical="center" wrapText="1"/>
      <protection hidden="1"/>
    </xf>
    <xf numFmtId="0" fontId="7" fillId="5" borderId="19" xfId="0" applyFont="1" applyFill="1" applyBorder="1" applyAlignment="1" applyProtection="1">
      <alignment horizontal="center" vertical="center" wrapText="1"/>
      <protection hidden="1"/>
    </xf>
    <xf numFmtId="0" fontId="7" fillId="5" borderId="43" xfId="0" applyFont="1" applyFill="1" applyBorder="1" applyAlignment="1" applyProtection="1">
      <alignment horizontal="center" vertical="center" wrapText="1"/>
      <protection hidden="1"/>
    </xf>
    <xf numFmtId="0" fontId="35" fillId="5" borderId="145" xfId="0" applyFont="1" applyFill="1" applyBorder="1" applyAlignment="1" applyProtection="1">
      <alignment horizontal="center" vertical="center"/>
      <protection hidden="1"/>
    </xf>
    <xf numFmtId="0" fontId="35" fillId="5" borderId="19" xfId="0" applyFont="1" applyFill="1" applyBorder="1" applyAlignment="1" applyProtection="1">
      <alignment horizontal="center" vertical="center"/>
      <protection hidden="1"/>
    </xf>
    <xf numFmtId="0" fontId="35" fillId="5" borderId="43" xfId="0" applyFont="1" applyFill="1" applyBorder="1" applyAlignment="1" applyProtection="1">
      <alignment horizontal="center" vertical="center"/>
      <protection hidden="1"/>
    </xf>
    <xf numFmtId="0" fontId="35" fillId="5" borderId="84" xfId="0" applyFont="1" applyFill="1" applyBorder="1" applyAlignment="1" applyProtection="1">
      <alignment horizontal="center" vertical="center"/>
      <protection hidden="1"/>
    </xf>
    <xf numFmtId="0" fontId="35" fillId="5" borderId="85" xfId="0" applyFont="1" applyFill="1" applyBorder="1" applyAlignment="1" applyProtection="1">
      <alignment horizontal="center" vertical="center"/>
      <protection hidden="1"/>
    </xf>
    <xf numFmtId="0" fontId="35" fillId="5" borderId="147" xfId="0" applyFont="1" applyFill="1" applyBorder="1" applyAlignment="1" applyProtection="1">
      <alignment horizontal="center" vertical="center"/>
      <protection hidden="1"/>
    </xf>
    <xf numFmtId="0" fontId="35" fillId="5" borderId="129" xfId="0" applyFont="1" applyFill="1" applyBorder="1" applyAlignment="1" applyProtection="1">
      <alignment horizontal="center" vertical="center"/>
      <protection hidden="1"/>
    </xf>
    <xf numFmtId="0" fontId="35" fillId="5" borderId="91" xfId="0" applyFont="1" applyFill="1" applyBorder="1" applyAlignment="1" applyProtection="1">
      <alignment horizontal="center" vertical="center"/>
      <protection hidden="1"/>
    </xf>
    <xf numFmtId="0" fontId="35" fillId="5" borderId="67"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wrapText="1"/>
      <protection hidden="1"/>
    </xf>
    <xf numFmtId="0" fontId="9" fillId="5" borderId="24" xfId="0" applyFont="1" applyFill="1" applyBorder="1" applyAlignment="1" applyProtection="1">
      <alignment horizontal="center" vertical="center" wrapText="1"/>
      <protection hidden="1"/>
    </xf>
    <xf numFmtId="0" fontId="7" fillId="5" borderId="5" xfId="0" applyFont="1" applyFill="1" applyBorder="1" applyAlignment="1" applyProtection="1">
      <alignment horizontal="center" vertical="center" wrapText="1"/>
      <protection hidden="1"/>
    </xf>
    <xf numFmtId="0" fontId="34" fillId="5" borderId="15" xfId="0" applyFont="1" applyFill="1" applyBorder="1" applyAlignment="1" applyProtection="1">
      <alignment horizontal="center" vertical="center"/>
      <protection hidden="1"/>
    </xf>
    <xf numFmtId="0" fontId="34" fillId="5" borderId="16" xfId="0" applyFont="1" applyFill="1" applyBorder="1" applyAlignment="1" applyProtection="1">
      <alignment horizontal="center" vertical="center"/>
      <protection hidden="1"/>
    </xf>
    <xf numFmtId="0" fontId="34" fillId="5" borderId="90" xfId="0" applyFont="1" applyFill="1" applyBorder="1" applyAlignment="1" applyProtection="1">
      <alignment horizontal="center" vertical="center"/>
      <protection hidden="1"/>
    </xf>
    <xf numFmtId="0" fontId="34" fillId="5" borderId="130" xfId="0" applyFont="1" applyFill="1" applyBorder="1" applyAlignment="1" applyProtection="1">
      <alignment horizontal="center" vertical="center"/>
      <protection hidden="1"/>
    </xf>
    <xf numFmtId="0" fontId="34" fillId="5" borderId="131" xfId="0" applyFont="1" applyFill="1" applyBorder="1" applyAlignment="1" applyProtection="1">
      <alignment horizontal="center" vertical="center"/>
      <protection hidden="1"/>
    </xf>
    <xf numFmtId="0" fontId="34" fillId="5" borderId="132" xfId="0" applyFont="1" applyFill="1" applyBorder="1" applyAlignment="1" applyProtection="1">
      <alignment horizontal="center" vertical="center"/>
      <protection hidden="1"/>
    </xf>
    <xf numFmtId="0" fontId="5" fillId="5" borderId="92" xfId="0" applyFont="1" applyFill="1" applyBorder="1" applyAlignment="1" applyProtection="1">
      <alignment horizontal="center" vertical="center" wrapText="1"/>
      <protection hidden="1"/>
    </xf>
    <xf numFmtId="0" fontId="5" fillId="5" borderId="5" xfId="0" applyFont="1" applyFill="1" applyBorder="1" applyAlignment="1" applyProtection="1">
      <alignment horizontal="center" vertical="center" wrapText="1"/>
      <protection hidden="1"/>
    </xf>
    <xf numFmtId="0" fontId="5" fillId="5" borderId="93" xfId="0" applyFont="1" applyFill="1" applyBorder="1" applyAlignment="1" applyProtection="1">
      <alignment horizontal="center" vertical="center" wrapText="1"/>
      <protection hidden="1"/>
    </xf>
    <xf numFmtId="0" fontId="5" fillId="5" borderId="53" xfId="0" applyFont="1" applyFill="1" applyBorder="1" applyAlignment="1" applyProtection="1">
      <alignment horizontal="center" vertical="center" wrapText="1"/>
      <protection hidden="1"/>
    </xf>
    <xf numFmtId="0" fontId="5" fillId="5" borderId="6" xfId="0" applyFont="1" applyFill="1" applyBorder="1" applyAlignment="1" applyProtection="1">
      <alignment horizontal="left" vertical="center" wrapText="1"/>
      <protection hidden="1"/>
    </xf>
    <xf numFmtId="0" fontId="5" fillId="5" borderId="1" xfId="0" applyFont="1" applyFill="1" applyBorder="1" applyAlignment="1" applyProtection="1">
      <alignment horizontal="left" vertical="center" wrapText="1"/>
      <protection hidden="1"/>
    </xf>
    <xf numFmtId="0" fontId="5" fillId="5" borderId="24" xfId="0" applyFont="1" applyFill="1" applyBorder="1" applyAlignment="1" applyProtection="1">
      <alignment horizontal="left" vertical="center" wrapText="1"/>
      <protection hidden="1"/>
    </xf>
    <xf numFmtId="0" fontId="5" fillId="5" borderId="54" xfId="0" applyFont="1" applyFill="1" applyBorder="1" applyAlignment="1" applyProtection="1">
      <alignment horizontal="left" vertical="center" wrapText="1"/>
      <protection hidden="1"/>
    </xf>
    <xf numFmtId="0" fontId="5" fillId="5" borderId="153" xfId="0" applyFont="1" applyFill="1" applyBorder="1" applyAlignment="1" applyProtection="1">
      <alignment horizontal="center" vertical="center" wrapText="1"/>
      <protection hidden="1"/>
    </xf>
    <xf numFmtId="0" fontId="5" fillId="5" borderId="9" xfId="0" applyFont="1" applyFill="1" applyBorder="1" applyAlignment="1" applyProtection="1">
      <alignment horizontal="left" vertical="center" wrapText="1"/>
      <protection hidden="1"/>
    </xf>
    <xf numFmtId="0" fontId="5" fillId="5" borderId="151" xfId="0" applyFont="1" applyFill="1" applyBorder="1" applyAlignment="1" applyProtection="1">
      <alignment horizontal="center" vertical="center" wrapText="1"/>
      <protection hidden="1"/>
    </xf>
    <xf numFmtId="0" fontId="5" fillId="5" borderId="128" xfId="0" applyFont="1" applyFill="1" applyBorder="1" applyAlignment="1" applyProtection="1">
      <alignment horizontal="center" vertical="center" wrapText="1"/>
      <protection hidden="1"/>
    </xf>
    <xf numFmtId="0" fontId="5" fillId="5" borderId="152" xfId="0" applyFont="1" applyFill="1" applyBorder="1" applyAlignment="1" applyProtection="1">
      <alignment horizontal="center" vertical="center" wrapText="1"/>
      <protection hidden="1"/>
    </xf>
    <xf numFmtId="0" fontId="5" fillId="5" borderId="34" xfId="0" applyFont="1" applyFill="1" applyBorder="1" applyAlignment="1" applyProtection="1">
      <alignment horizontal="left" vertical="center" wrapText="1"/>
      <protection hidden="1"/>
    </xf>
    <xf numFmtId="0" fontId="5" fillId="5" borderId="19" xfId="0" applyFont="1" applyFill="1" applyBorder="1" applyAlignment="1" applyProtection="1">
      <alignment horizontal="left" vertical="center" wrapText="1"/>
      <protection hidden="1"/>
    </xf>
    <xf numFmtId="0" fontId="5" fillId="5" borderId="43" xfId="0" applyFont="1" applyFill="1" applyBorder="1" applyAlignment="1" applyProtection="1">
      <alignment horizontal="left" vertical="center" wrapText="1"/>
      <protection hidden="1"/>
    </xf>
    <xf numFmtId="0" fontId="5" fillId="5" borderId="116" xfId="0" applyFont="1" applyFill="1" applyBorder="1" applyAlignment="1" applyProtection="1">
      <alignment horizontal="center" vertical="center" wrapText="1"/>
      <protection hidden="1"/>
    </xf>
    <xf numFmtId="0" fontId="5" fillId="5" borderId="114" xfId="0" applyFont="1" applyFill="1" applyBorder="1" applyAlignment="1" applyProtection="1">
      <alignment horizontal="center" vertical="center" wrapText="1"/>
      <protection hidden="1"/>
    </xf>
    <xf numFmtId="0" fontId="5" fillId="5" borderId="18" xfId="0" applyFont="1" applyFill="1" applyBorder="1" applyAlignment="1" applyProtection="1">
      <alignment horizontal="left" vertical="center" wrapText="1"/>
      <protection hidden="1"/>
    </xf>
    <xf numFmtId="0" fontId="5" fillId="5" borderId="4" xfId="0" applyFont="1" applyFill="1" applyBorder="1" applyAlignment="1" applyProtection="1">
      <alignment horizontal="left" vertical="center" wrapText="1"/>
      <protection hidden="1"/>
    </xf>
    <xf numFmtId="0" fontId="7" fillId="5" borderId="1" xfId="0" applyFont="1" applyFill="1" applyBorder="1" applyAlignment="1" applyProtection="1">
      <alignment horizontal="center" vertical="center" wrapText="1"/>
      <protection hidden="1"/>
    </xf>
    <xf numFmtId="0" fontId="7" fillId="5" borderId="24" xfId="0" applyFont="1" applyFill="1" applyBorder="1" applyAlignment="1" applyProtection="1">
      <alignment horizontal="center" vertical="center" wrapText="1"/>
      <protection hidden="1"/>
    </xf>
    <xf numFmtId="0" fontId="7" fillId="5" borderId="146" xfId="0" applyFont="1" applyFill="1" applyBorder="1" applyAlignment="1" applyProtection="1">
      <alignment horizontal="center" vertical="center" wrapText="1"/>
      <protection hidden="1"/>
    </xf>
    <xf numFmtId="0" fontId="7" fillId="5" borderId="148" xfId="0" applyFont="1" applyFill="1" applyBorder="1" applyAlignment="1" applyProtection="1">
      <alignment horizontal="center" vertical="center" wrapText="1"/>
      <protection hidden="1"/>
    </xf>
    <xf numFmtId="0" fontId="7" fillId="5" borderId="149" xfId="0" applyFont="1" applyFill="1" applyBorder="1" applyAlignment="1" applyProtection="1">
      <alignment horizontal="center" vertical="center" wrapText="1"/>
      <protection hidden="1"/>
    </xf>
    <xf numFmtId="0" fontId="34" fillId="3" borderId="130" xfId="0" applyFont="1" applyFill="1" applyBorder="1" applyAlignment="1" applyProtection="1">
      <alignment horizontal="center" vertical="center"/>
      <protection hidden="1"/>
    </xf>
    <xf numFmtId="0" fontId="34" fillId="3" borderId="131" xfId="0" applyFont="1" applyFill="1" applyBorder="1" applyAlignment="1" applyProtection="1">
      <alignment horizontal="center" vertical="center"/>
      <protection hidden="1"/>
    </xf>
    <xf numFmtId="0" fontId="34" fillId="3" borderId="132" xfId="0" applyFont="1" applyFill="1" applyBorder="1" applyAlignment="1" applyProtection="1">
      <alignment horizontal="center" vertical="center"/>
      <protection hidden="1"/>
    </xf>
    <xf numFmtId="0" fontId="7" fillId="5" borderId="93" xfId="0" applyFont="1" applyFill="1" applyBorder="1" applyAlignment="1" applyProtection="1">
      <alignment horizontal="center" vertical="center"/>
      <protection hidden="1"/>
    </xf>
    <xf numFmtId="0" fontId="7" fillId="5" borderId="128" xfId="0" applyFont="1" applyFill="1" applyBorder="1" applyAlignment="1" applyProtection="1">
      <alignment horizontal="center" vertical="center"/>
      <protection hidden="1"/>
    </xf>
    <xf numFmtId="0" fontId="34" fillId="5" borderId="130" xfId="0" applyFont="1" applyFill="1" applyBorder="1" applyAlignment="1" applyProtection="1">
      <alignment horizontal="center" vertical="center" wrapText="1"/>
      <protection hidden="1"/>
    </xf>
    <xf numFmtId="0" fontId="34" fillId="5" borderId="131" xfId="0" applyFont="1" applyFill="1" applyBorder="1" applyAlignment="1" applyProtection="1">
      <alignment horizontal="center" vertical="center" wrapText="1"/>
      <protection hidden="1"/>
    </xf>
    <xf numFmtId="0" fontId="34" fillId="5" borderId="132" xfId="0" applyFont="1" applyFill="1" applyBorder="1" applyAlignment="1" applyProtection="1">
      <alignment horizontal="center" vertical="center" wrapText="1"/>
      <protection hidden="1"/>
    </xf>
    <xf numFmtId="0" fontId="34" fillId="3" borderId="15" xfId="0" applyFont="1" applyFill="1" applyBorder="1" applyAlignment="1" applyProtection="1">
      <alignment horizontal="center" vertical="center"/>
      <protection hidden="1"/>
    </xf>
    <xf numFmtId="0" fontId="34" fillId="3" borderId="16" xfId="0" applyFont="1" applyFill="1" applyBorder="1" applyAlignment="1" applyProtection="1">
      <alignment horizontal="center" vertical="center"/>
      <protection hidden="1"/>
    </xf>
    <xf numFmtId="0" fontId="34" fillId="3" borderId="90" xfId="0" applyFont="1" applyFill="1" applyBorder="1" applyAlignment="1" applyProtection="1">
      <alignment horizontal="center" vertical="center"/>
      <protection hidden="1"/>
    </xf>
    <xf numFmtId="0" fontId="7" fillId="15" borderId="1" xfId="0" applyFont="1" applyFill="1" applyBorder="1" applyAlignment="1" applyProtection="1">
      <alignment horizontal="center" vertical="center" wrapText="1"/>
      <protection hidden="1"/>
    </xf>
    <xf numFmtId="0" fontId="7" fillId="15" borderId="24" xfId="0" applyFont="1" applyFill="1" applyBorder="1" applyAlignment="1" applyProtection="1">
      <alignment horizontal="center" vertical="center" wrapText="1"/>
      <protection hidden="1"/>
    </xf>
    <xf numFmtId="0" fontId="7" fillId="15" borderId="26" xfId="0" applyFont="1" applyFill="1" applyBorder="1" applyAlignment="1" applyProtection="1">
      <alignment horizontal="center" vertical="center" wrapText="1"/>
      <protection hidden="1"/>
    </xf>
    <xf numFmtId="0" fontId="7" fillId="15" borderId="133" xfId="0" applyFont="1" applyFill="1" applyBorder="1" applyAlignment="1" applyProtection="1">
      <alignment horizontal="center" vertical="center" wrapText="1"/>
      <protection hidden="1"/>
    </xf>
    <xf numFmtId="0" fontId="34" fillId="7" borderId="15" xfId="0" applyFont="1" applyFill="1" applyBorder="1" applyAlignment="1" applyProtection="1">
      <alignment horizontal="center" vertical="center"/>
      <protection hidden="1"/>
    </xf>
    <xf numFmtId="0" fontId="34" fillId="7" borderId="16" xfId="0" applyFont="1" applyFill="1" applyBorder="1" applyAlignment="1" applyProtection="1">
      <alignment horizontal="center" vertical="center"/>
      <protection hidden="1"/>
    </xf>
    <xf numFmtId="0" fontId="34" fillId="7" borderId="90" xfId="0" applyFont="1" applyFill="1" applyBorder="1" applyAlignment="1" applyProtection="1">
      <alignment horizontal="center" vertical="center"/>
      <protection hidden="1"/>
    </xf>
    <xf numFmtId="0" fontId="34" fillId="8" borderId="15" xfId="0" applyFont="1" applyFill="1" applyBorder="1" applyAlignment="1" applyProtection="1">
      <alignment horizontal="center" vertical="center"/>
      <protection hidden="1"/>
    </xf>
    <xf numFmtId="0" fontId="34" fillId="8" borderId="16" xfId="0" applyFont="1" applyFill="1" applyBorder="1" applyAlignment="1" applyProtection="1">
      <alignment horizontal="center" vertical="center"/>
      <protection hidden="1"/>
    </xf>
    <xf numFmtId="0" fontId="34" fillId="8" borderId="90" xfId="0" applyFont="1" applyFill="1" applyBorder="1" applyAlignment="1" applyProtection="1">
      <alignment horizontal="center" vertical="center"/>
      <protection hidden="1"/>
    </xf>
    <xf numFmtId="0" fontId="34" fillId="9" borderId="15" xfId="0" applyFont="1" applyFill="1" applyBorder="1" applyAlignment="1" applyProtection="1">
      <alignment horizontal="center" vertical="center"/>
      <protection hidden="1"/>
    </xf>
    <xf numFmtId="0" fontId="34" fillId="9" borderId="16" xfId="0" applyFont="1" applyFill="1" applyBorder="1" applyAlignment="1" applyProtection="1">
      <alignment horizontal="center" vertical="center"/>
      <protection hidden="1"/>
    </xf>
    <xf numFmtId="0" fontId="34" fillId="9" borderId="90" xfId="0" applyFont="1" applyFill="1" applyBorder="1" applyAlignment="1" applyProtection="1">
      <alignment horizontal="center" vertical="center"/>
      <protection hidden="1"/>
    </xf>
    <xf numFmtId="0" fontId="34" fillId="9" borderId="5" xfId="0" applyFont="1" applyFill="1" applyBorder="1" applyAlignment="1" applyProtection="1">
      <alignment horizontal="center" vertical="center"/>
      <protection hidden="1"/>
    </xf>
    <xf numFmtId="0" fontId="34" fillId="9" borderId="1" xfId="0" applyFont="1" applyFill="1" applyBorder="1" applyAlignment="1" applyProtection="1">
      <alignment horizontal="center" vertical="center"/>
      <protection hidden="1"/>
    </xf>
    <xf numFmtId="0" fontId="34" fillId="9" borderId="26" xfId="0" applyFont="1" applyFill="1" applyBorder="1" applyAlignment="1" applyProtection="1">
      <alignment horizontal="center" vertical="center"/>
      <protection hidden="1"/>
    </xf>
    <xf numFmtId="0" fontId="34" fillId="7" borderId="5" xfId="0" applyFont="1" applyFill="1" applyBorder="1" applyAlignment="1" applyProtection="1">
      <alignment horizontal="center" vertical="center"/>
      <protection hidden="1"/>
    </xf>
    <xf numFmtId="0" fontId="34" fillId="7" borderId="1" xfId="0" applyFont="1" applyFill="1" applyBorder="1" applyAlignment="1" applyProtection="1">
      <alignment horizontal="center" vertical="center"/>
      <protection hidden="1"/>
    </xf>
    <xf numFmtId="0" fontId="34" fillId="7" borderId="26" xfId="0" applyFont="1" applyFill="1" applyBorder="1" applyAlignment="1" applyProtection="1">
      <alignment horizontal="center" vertical="center"/>
      <protection hidden="1"/>
    </xf>
    <xf numFmtId="0" fontId="34" fillId="3" borderId="5" xfId="0" applyFont="1" applyFill="1" applyBorder="1" applyAlignment="1" applyProtection="1">
      <alignment horizontal="center" vertical="center"/>
      <protection hidden="1"/>
    </xf>
    <xf numFmtId="0" fontId="34" fillId="3" borderId="1" xfId="0" applyFont="1" applyFill="1" applyBorder="1" applyAlignment="1" applyProtection="1">
      <alignment horizontal="center" vertical="center"/>
      <protection hidden="1"/>
    </xf>
    <xf numFmtId="0" fontId="34" fillId="3" borderId="26" xfId="0" applyFont="1" applyFill="1" applyBorder="1" applyAlignment="1" applyProtection="1">
      <alignment horizontal="center" vertical="center"/>
      <protection hidden="1"/>
    </xf>
    <xf numFmtId="0" fontId="34" fillId="5" borderId="120" xfId="0" applyFont="1" applyFill="1" applyBorder="1" applyAlignment="1" applyProtection="1">
      <alignment horizontal="center" vertical="center"/>
      <protection hidden="1"/>
    </xf>
    <xf numFmtId="0" fontId="7" fillId="5" borderId="38" xfId="0" applyFont="1" applyFill="1" applyBorder="1" applyAlignment="1" applyProtection="1">
      <alignment horizontal="center" vertical="center" wrapText="1"/>
      <protection hidden="1"/>
    </xf>
    <xf numFmtId="0" fontId="7" fillId="5" borderId="123" xfId="0" applyFont="1" applyFill="1" applyBorder="1" applyAlignment="1" applyProtection="1">
      <alignment horizontal="center" vertical="center" wrapText="1"/>
      <protection hidden="1"/>
    </xf>
    <xf numFmtId="0" fontId="19" fillId="5" borderId="0" xfId="0" applyFont="1" applyFill="1" applyAlignment="1" applyProtection="1">
      <alignment horizontal="center" vertical="center"/>
      <protection hidden="1"/>
    </xf>
    <xf numFmtId="0" fontId="39" fillId="5" borderId="0" xfId="0" applyFont="1" applyFill="1" applyAlignment="1" applyProtection="1">
      <alignment horizontal="center" vertical="center"/>
      <protection hidden="1"/>
    </xf>
    <xf numFmtId="0" fontId="26" fillId="5" borderId="0" xfId="0" applyFont="1" applyFill="1" applyAlignment="1" applyProtection="1">
      <alignment horizontal="center" vertical="center"/>
      <protection hidden="1"/>
    </xf>
    <xf numFmtId="0" fontId="34" fillId="5" borderId="15" xfId="0" applyFont="1" applyFill="1" applyBorder="1" applyAlignment="1" applyProtection="1">
      <alignment horizontal="center" vertical="center" wrapText="1"/>
      <protection hidden="1"/>
    </xf>
    <xf numFmtId="0" fontId="34" fillId="5" borderId="90" xfId="0" applyFont="1" applyFill="1" applyBorder="1" applyAlignment="1" applyProtection="1">
      <alignment horizontal="center" vertical="center" wrapText="1"/>
      <protection hidden="1"/>
    </xf>
    <xf numFmtId="0" fontId="35" fillId="5" borderId="71" xfId="0" applyFont="1" applyFill="1" applyBorder="1" applyAlignment="1" applyProtection="1">
      <alignment horizontal="center" vertical="center"/>
      <protection hidden="1"/>
    </xf>
    <xf numFmtId="0" fontId="35" fillId="5" borderId="105" xfId="0" applyFont="1" applyFill="1" applyBorder="1" applyAlignment="1" applyProtection="1">
      <alignment horizontal="center" vertical="center"/>
      <protection hidden="1"/>
    </xf>
    <xf numFmtId="0" fontId="35" fillId="5" borderId="159" xfId="0" applyFont="1" applyFill="1" applyBorder="1" applyAlignment="1" applyProtection="1">
      <alignment horizontal="center" vertical="center"/>
      <protection hidden="1"/>
    </xf>
    <xf numFmtId="0" fontId="35" fillId="5" borderId="139" xfId="0" applyFont="1" applyFill="1" applyBorder="1" applyAlignment="1" applyProtection="1">
      <alignment horizontal="center" vertical="center"/>
      <protection hidden="1"/>
    </xf>
    <xf numFmtId="0" fontId="35" fillId="5" borderId="112" xfId="0" applyFont="1" applyFill="1" applyBorder="1" applyAlignment="1" applyProtection="1">
      <alignment horizontal="center" vertical="center"/>
      <protection hidden="1"/>
    </xf>
    <xf numFmtId="0" fontId="35" fillId="5" borderId="140" xfId="0" applyFont="1" applyFill="1" applyBorder="1" applyAlignment="1" applyProtection="1">
      <alignment horizontal="center" vertical="center"/>
      <protection hidden="1"/>
    </xf>
    <xf numFmtId="0" fontId="35" fillId="5" borderId="104" xfId="0" applyFont="1" applyFill="1" applyBorder="1" applyAlignment="1" applyProtection="1">
      <alignment horizontal="center" vertical="center"/>
      <protection hidden="1"/>
    </xf>
    <xf numFmtId="0" fontId="35" fillId="5" borderId="141" xfId="0" applyFont="1" applyFill="1" applyBorder="1" applyAlignment="1" applyProtection="1">
      <alignment horizontal="center" vertical="center"/>
      <protection hidden="1"/>
    </xf>
    <xf numFmtId="0" fontId="35" fillId="5" borderId="142" xfId="0" applyFont="1" applyFill="1" applyBorder="1" applyAlignment="1" applyProtection="1">
      <alignment horizontal="center" vertical="center"/>
      <protection hidden="1"/>
    </xf>
    <xf numFmtId="0" fontId="7" fillId="5" borderId="106" xfId="0" applyFont="1" applyFill="1" applyBorder="1" applyAlignment="1" applyProtection="1">
      <alignment horizontal="center" vertical="center" wrapText="1"/>
      <protection hidden="1"/>
    </xf>
    <xf numFmtId="0" fontId="7" fillId="5" borderId="119" xfId="0" applyFont="1" applyFill="1" applyBorder="1" applyAlignment="1" applyProtection="1">
      <alignment horizontal="center" vertical="center" wrapText="1"/>
      <protection hidden="1"/>
    </xf>
    <xf numFmtId="0" fontId="7" fillId="5" borderId="107" xfId="0" applyFont="1" applyFill="1" applyBorder="1" applyAlignment="1" applyProtection="1">
      <alignment horizontal="center" vertical="center" wrapText="1"/>
      <protection hidden="1"/>
    </xf>
    <xf numFmtId="0" fontId="35" fillId="5" borderId="106" xfId="0" applyFont="1" applyFill="1" applyBorder="1" applyAlignment="1" applyProtection="1">
      <alignment horizontal="center" vertical="center"/>
      <protection hidden="1"/>
    </xf>
    <xf numFmtId="0" fontId="35" fillId="5" borderId="119" xfId="0" applyFont="1" applyFill="1" applyBorder="1" applyAlignment="1" applyProtection="1">
      <alignment horizontal="center" vertical="center"/>
      <protection hidden="1"/>
    </xf>
    <xf numFmtId="0" fontId="35" fillId="5" borderId="107" xfId="0" applyFont="1" applyFill="1" applyBorder="1" applyAlignment="1" applyProtection="1">
      <alignment horizontal="center" vertical="center"/>
      <protection hidden="1"/>
    </xf>
    <xf numFmtId="0" fontId="8" fillId="5" borderId="0" xfId="0" applyFont="1" applyFill="1" applyAlignment="1" applyProtection="1">
      <alignment horizontal="center" vertical="center"/>
      <protection hidden="1"/>
    </xf>
    <xf numFmtId="0" fontId="7" fillId="0" borderId="10"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34" fillId="5" borderId="16" xfId="0" applyFont="1" applyFill="1" applyBorder="1" applyAlignment="1" applyProtection="1">
      <alignment horizontal="center" vertical="center" wrapText="1"/>
      <protection hidden="1"/>
    </xf>
    <xf numFmtId="0" fontId="7" fillId="5" borderId="5" xfId="0" applyFont="1" applyFill="1" applyBorder="1" applyAlignment="1" applyProtection="1">
      <alignment horizontal="center" vertical="center"/>
      <protection hidden="1"/>
    </xf>
    <xf numFmtId="43" fontId="5" fillId="5" borderId="6" xfId="0" applyNumberFormat="1" applyFont="1" applyFill="1" applyBorder="1" applyAlignment="1" applyProtection="1">
      <alignment vertical="center" wrapText="1"/>
      <protection hidden="1"/>
    </xf>
    <xf numFmtId="0" fontId="5" fillId="5" borderId="1" xfId="0" applyFont="1" applyFill="1" applyBorder="1" applyAlignment="1" applyProtection="1">
      <alignment vertical="center" wrapText="1"/>
      <protection hidden="1"/>
    </xf>
    <xf numFmtId="0" fontId="5" fillId="5" borderId="24" xfId="0" applyFont="1" applyFill="1" applyBorder="1" applyAlignment="1" applyProtection="1">
      <alignment vertical="center" wrapText="1"/>
      <protection hidden="1"/>
    </xf>
    <xf numFmtId="43" fontId="5" fillId="5" borderId="18" xfId="0" applyNumberFormat="1" applyFont="1" applyFill="1" applyBorder="1" applyAlignment="1" applyProtection="1">
      <alignment vertical="center" wrapText="1"/>
      <protection hidden="1"/>
    </xf>
    <xf numFmtId="0" fontId="5" fillId="5" borderId="54" xfId="0" applyFont="1" applyFill="1" applyBorder="1" applyAlignment="1" applyProtection="1">
      <alignment vertical="center" wrapText="1"/>
      <protection hidden="1"/>
    </xf>
    <xf numFmtId="0" fontId="5" fillId="5" borderId="19" xfId="0" applyFont="1" applyFill="1" applyBorder="1" applyAlignment="1" applyProtection="1">
      <alignment vertical="center" wrapText="1"/>
      <protection hidden="1"/>
    </xf>
    <xf numFmtId="0" fontId="5" fillId="5" borderId="43" xfId="0" applyFont="1" applyFill="1" applyBorder="1" applyAlignment="1" applyProtection="1">
      <alignment vertical="center" wrapText="1"/>
      <protection hidden="1"/>
    </xf>
    <xf numFmtId="0" fontId="5" fillId="5" borderId="18" xfId="0" applyFont="1" applyFill="1" applyBorder="1" applyAlignment="1" applyProtection="1">
      <alignment vertical="center" wrapText="1"/>
      <protection hidden="1"/>
    </xf>
    <xf numFmtId="0" fontId="5" fillId="5" borderId="4" xfId="0" applyFont="1" applyFill="1" applyBorder="1" applyAlignment="1" applyProtection="1">
      <alignment vertical="center" wrapText="1"/>
      <protection hidden="1"/>
    </xf>
    <xf numFmtId="0" fontId="5" fillId="5" borderId="6" xfId="0" applyFont="1" applyFill="1" applyBorder="1" applyAlignment="1" applyProtection="1">
      <alignment vertical="center" wrapText="1"/>
      <protection hidden="1"/>
    </xf>
    <xf numFmtId="0" fontId="42" fillId="5" borderId="18" xfId="0" applyFont="1" applyFill="1" applyBorder="1" applyAlignment="1" applyProtection="1">
      <alignment vertical="center" wrapText="1"/>
      <protection hidden="1"/>
    </xf>
    <xf numFmtId="0" fontId="42" fillId="5" borderId="1" xfId="0" applyFont="1" applyFill="1" applyBorder="1" applyAlignment="1" applyProtection="1">
      <alignment vertical="center" wrapText="1"/>
      <protection hidden="1"/>
    </xf>
    <xf numFmtId="0" fontId="42" fillId="5" borderId="4" xfId="0" applyFont="1" applyFill="1" applyBorder="1" applyAlignment="1" applyProtection="1">
      <alignment vertical="center" wrapText="1"/>
      <protection hidden="1"/>
    </xf>
    <xf numFmtId="0" fontId="35" fillId="5" borderId="57" xfId="0" applyFont="1" applyFill="1" applyBorder="1" applyAlignment="1" applyProtection="1">
      <alignment horizontal="center" vertical="center"/>
      <protection hidden="1"/>
    </xf>
    <xf numFmtId="0" fontId="35" fillId="5" borderId="0" xfId="0" applyFont="1" applyFill="1" applyBorder="1" applyAlignment="1" applyProtection="1">
      <alignment horizontal="center" vertical="center"/>
      <protection hidden="1"/>
    </xf>
    <xf numFmtId="0" fontId="35" fillId="5" borderId="167" xfId="0" applyFont="1" applyFill="1" applyBorder="1" applyAlignment="1" applyProtection="1">
      <alignment horizontal="center" vertical="center"/>
      <protection hidden="1"/>
    </xf>
    <xf numFmtId="0" fontId="35" fillId="5" borderId="102" xfId="0" applyFont="1" applyFill="1" applyBorder="1" applyAlignment="1" applyProtection="1">
      <alignment horizontal="center" vertical="center"/>
      <protection hidden="1"/>
    </xf>
    <xf numFmtId="0" fontId="35" fillId="5" borderId="47" xfId="0" applyFont="1" applyFill="1" applyBorder="1" applyAlignment="1" applyProtection="1">
      <alignment horizontal="center" vertical="center"/>
      <protection hidden="1"/>
    </xf>
    <xf numFmtId="0" fontId="35" fillId="5" borderId="195" xfId="0" applyFont="1" applyFill="1" applyBorder="1" applyAlignment="1" applyProtection="1">
      <alignment horizontal="center" vertical="center"/>
      <protection hidden="1"/>
    </xf>
    <xf numFmtId="0" fontId="60" fillId="5" borderId="1" xfId="0" applyFont="1" applyFill="1" applyBorder="1" applyAlignment="1">
      <alignment horizontal="center" vertical="center"/>
    </xf>
    <xf numFmtId="0" fontId="60" fillId="5" borderId="1" xfId="0" applyFont="1" applyFill="1" applyBorder="1" applyAlignment="1" applyProtection="1">
      <alignment horizontal="center" vertical="center" textRotation="90"/>
    </xf>
    <xf numFmtId="0" fontId="30" fillId="5" borderId="1" xfId="0" applyFont="1" applyFill="1" applyBorder="1" applyAlignment="1">
      <alignment horizontal="center" vertical="center" wrapText="1"/>
    </xf>
    <xf numFmtId="0" fontId="32" fillId="5" borderId="52" xfId="0" applyFont="1" applyFill="1" applyBorder="1" applyAlignment="1">
      <alignment horizontal="center" vertical="center"/>
    </xf>
    <xf numFmtId="0" fontId="32" fillId="5" borderId="80" xfId="0" applyFont="1" applyFill="1" applyBorder="1" applyAlignment="1">
      <alignment horizontal="center" vertical="center"/>
    </xf>
    <xf numFmtId="0" fontId="32" fillId="5" borderId="123" xfId="0" applyFont="1" applyFill="1" applyBorder="1" applyAlignment="1">
      <alignment horizontal="center" vertical="center"/>
    </xf>
    <xf numFmtId="0" fontId="32" fillId="5" borderId="46" xfId="0" applyFont="1" applyFill="1" applyBorder="1" applyAlignment="1">
      <alignment horizontal="center" vertical="center"/>
    </xf>
    <xf numFmtId="0" fontId="32" fillId="5" borderId="58" xfId="0" applyFont="1" applyFill="1" applyBorder="1" applyAlignment="1">
      <alignment horizontal="center" vertical="center"/>
    </xf>
    <xf numFmtId="0" fontId="32" fillId="5" borderId="122" xfId="0" applyFont="1" applyFill="1" applyBorder="1" applyAlignment="1">
      <alignment horizontal="center" vertical="center"/>
    </xf>
    <xf numFmtId="0" fontId="59" fillId="5" borderId="17" xfId="0" applyFont="1" applyFill="1" applyBorder="1" applyAlignment="1">
      <alignment horizontal="center" vertical="center"/>
    </xf>
    <xf numFmtId="0" fontId="59" fillId="5" borderId="18" xfId="0" applyFont="1" applyFill="1" applyBorder="1" applyAlignment="1">
      <alignment horizontal="center" vertical="center"/>
    </xf>
    <xf numFmtId="0" fontId="59" fillId="5" borderId="44" xfId="0" applyFont="1" applyFill="1" applyBorder="1" applyAlignment="1">
      <alignment horizontal="center" vertical="center"/>
    </xf>
    <xf numFmtId="0" fontId="29" fillId="5" borderId="199" xfId="0" applyFont="1" applyFill="1" applyBorder="1" applyAlignment="1">
      <alignment horizontal="center" vertical="center" wrapText="1"/>
    </xf>
    <xf numFmtId="0" fontId="29" fillId="5" borderId="179" xfId="0" applyFont="1" applyFill="1" applyBorder="1" applyAlignment="1">
      <alignment horizontal="center" vertical="center" wrapText="1"/>
    </xf>
    <xf numFmtId="0" fontId="29" fillId="5" borderId="47" xfId="0" applyFont="1" applyFill="1" applyBorder="1" applyAlignment="1">
      <alignment horizontal="center" vertical="center" wrapText="1"/>
    </xf>
    <xf numFmtId="0" fontId="29" fillId="5" borderId="103" xfId="0" applyFont="1" applyFill="1" applyBorder="1" applyAlignment="1">
      <alignment horizontal="center" vertical="center" wrapText="1"/>
    </xf>
    <xf numFmtId="0" fontId="29" fillId="5" borderId="46" xfId="0" applyFont="1" applyFill="1" applyBorder="1" applyAlignment="1">
      <alignment horizontal="center" vertical="center" wrapText="1"/>
    </xf>
    <xf numFmtId="0" fontId="29" fillId="5" borderId="76" xfId="0" applyFont="1" applyFill="1" applyBorder="1" applyAlignment="1">
      <alignment horizontal="center" vertical="center" wrapText="1"/>
    </xf>
    <xf numFmtId="0" fontId="59" fillId="5" borderId="177" xfId="0" applyFont="1" applyFill="1" applyBorder="1" applyAlignment="1">
      <alignment horizontal="center" vertical="center"/>
    </xf>
    <xf numFmtId="0" fontId="59" fillId="5" borderId="178" xfId="0" applyFont="1" applyFill="1" applyBorder="1" applyAlignment="1">
      <alignment horizontal="center" vertical="center"/>
    </xf>
    <xf numFmtId="0" fontId="59" fillId="5" borderId="198" xfId="0" applyFont="1" applyFill="1" applyBorder="1" applyAlignment="1">
      <alignment horizontal="center" vertical="center"/>
    </xf>
    <xf numFmtId="0" fontId="59" fillId="5" borderId="73" xfId="0" applyFont="1" applyFill="1" applyBorder="1" applyAlignment="1">
      <alignment horizontal="center" vertical="center"/>
    </xf>
    <xf numFmtId="0" fontId="59" fillId="5" borderId="58" xfId="0" applyFont="1" applyFill="1" applyBorder="1" applyAlignment="1">
      <alignment horizontal="center" vertical="center"/>
    </xf>
    <xf numFmtId="0" fontId="59" fillId="5" borderId="122" xfId="0" applyFont="1" applyFill="1" applyBorder="1" applyAlignment="1">
      <alignment horizontal="center" vertical="center"/>
    </xf>
    <xf numFmtId="0" fontId="29" fillId="5" borderId="182" xfId="0" applyFont="1" applyFill="1" applyBorder="1" applyAlignment="1">
      <alignment horizontal="center" vertical="center" wrapText="1"/>
    </xf>
    <xf numFmtId="0" fontId="29" fillId="5" borderId="104" xfId="0" applyFont="1" applyFill="1" applyBorder="1" applyAlignment="1">
      <alignment horizontal="center" vertical="center" wrapText="1"/>
    </xf>
    <xf numFmtId="0" fontId="29" fillId="5" borderId="101" xfId="0" applyFont="1" applyFill="1" applyBorder="1" applyAlignment="1">
      <alignment horizontal="center" vertical="center" wrapText="1"/>
    </xf>
  </cellXfs>
  <cellStyles count="4">
    <cellStyle name="Comma" xfId="1" builtinId="3"/>
    <cellStyle name="Normal" xfId="0" builtinId="0"/>
    <cellStyle name="Normal 7" xfId="2" xr:uid="{00000000-0005-0000-0000-000002000000}"/>
    <cellStyle name="Percent" xfId="3" builtinId="5"/>
  </cellStyles>
  <dxfs count="0"/>
  <tableStyles count="0" defaultTableStyle="TableStyleMedium2" defaultPivotStyle="PivotStyleLight16"/>
  <colors>
    <mruColors>
      <color rgb="FFEAEAEA"/>
      <color rgb="FFF8F8F8"/>
      <color rgb="FF0000CC"/>
      <color rgb="FFF00802"/>
      <color rgb="FFFFFF00"/>
      <color rgb="FFCCECFF"/>
      <color rgb="FFFFFFFF"/>
      <color rgb="FF339966"/>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CFAVC's DMF Cumulative Physical Weight Progresses of MEF, IAs, DMF to</a:t>
            </a:r>
            <a:r>
              <a:rPr lang="en-US" b="1" baseline="0"/>
              <a:t> date as of June 2021 </a:t>
            </a:r>
            <a:r>
              <a:rPr lang="en-US" sz="1400" b="1" i="0" u="none" strike="noStrike" baseline="0">
                <a:effectLst/>
              </a:rPr>
              <a:t>(%)</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Curves!$AB$3</c:f>
              <c:strCache>
                <c:ptCount val="1"/>
                <c:pt idx="0">
                  <c:v>DMF (%)</c:v>
                </c:pt>
              </c:strCache>
            </c:strRef>
          </c:tx>
          <c:spPr>
            <a:ln w="28575" cap="rnd">
              <a:solidFill>
                <a:srgbClr val="CC00CC"/>
              </a:solidFill>
              <a:round/>
            </a:ln>
            <a:effectLst/>
          </c:spPr>
          <c:marker>
            <c:symbol val="none"/>
          </c:marker>
          <c:dLbls>
            <c:dLbl>
              <c:idx val="0"/>
              <c:layout>
                <c:manualLayout>
                  <c:x val="-2.3699693788276466E-2"/>
                  <c:y val="1.2225778290932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EF8-42AF-ABE0-773CFD078F9C}"/>
                </c:ext>
              </c:extLst>
            </c:dLbl>
            <c:dLbl>
              <c:idx val="4"/>
              <c:layout>
                <c:manualLayout>
                  <c:x val="-2.6762592495987714E-2"/>
                  <c:y val="5.579617968314545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4-440C-A0AE-71A02B8A5E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Curves!$T$5:$T$10</c:f>
              <c:numCache>
                <c:formatCode>mmm\-yy</c:formatCode>
                <c:ptCount val="6"/>
                <c:pt idx="0">
                  <c:v>44197</c:v>
                </c:pt>
                <c:pt idx="1">
                  <c:v>44228</c:v>
                </c:pt>
                <c:pt idx="2">
                  <c:v>44256</c:v>
                </c:pt>
                <c:pt idx="3">
                  <c:v>44287</c:v>
                </c:pt>
                <c:pt idx="4">
                  <c:v>44317</c:v>
                </c:pt>
                <c:pt idx="5">
                  <c:v>44348</c:v>
                </c:pt>
              </c:numCache>
            </c:numRef>
          </c:cat>
          <c:val>
            <c:numRef>
              <c:f>Curves!$AB$5:$AB$10</c:f>
              <c:numCache>
                <c:formatCode>0.00</c:formatCode>
                <c:ptCount val="6"/>
                <c:pt idx="0">
                  <c:v>2.4889170619555556</c:v>
                </c:pt>
                <c:pt idx="1">
                  <c:v>3.6456817688888892</c:v>
                </c:pt>
                <c:pt idx="2">
                  <c:v>4.3112918466666663</c:v>
                </c:pt>
                <c:pt idx="3">
                  <c:v>5.1005497222222216</c:v>
                </c:pt>
                <c:pt idx="4">
                  <c:v>3.4975111111111117</c:v>
                </c:pt>
                <c:pt idx="5">
                  <c:v>6.3988259329573944</c:v>
                </c:pt>
              </c:numCache>
            </c:numRef>
          </c:val>
          <c:smooth val="0"/>
          <c:extLst>
            <c:ext xmlns:c16="http://schemas.microsoft.com/office/drawing/2014/chart" uri="{C3380CC4-5D6E-409C-BE32-E72D297353CC}">
              <c16:uniqueId val="{00000000-5F17-4B14-BDA5-9AB89380E010}"/>
            </c:ext>
          </c:extLst>
        </c:ser>
        <c:ser>
          <c:idx val="1"/>
          <c:order val="1"/>
          <c:tx>
            <c:strRef>
              <c:f>Curves!$AC$3</c:f>
              <c:strCache>
                <c:ptCount val="1"/>
                <c:pt idx="0">
                  <c:v>IAs (%)</c:v>
                </c:pt>
              </c:strCache>
            </c:strRef>
          </c:tx>
          <c:spPr>
            <a:ln w="28575" cap="rnd">
              <a:solidFill>
                <a:schemeClr val="accent2"/>
              </a:solidFill>
              <a:round/>
            </a:ln>
            <a:effectLst/>
          </c:spPr>
          <c:marker>
            <c:symbol val="none"/>
          </c:marker>
          <c:dLbls>
            <c:dLbl>
              <c:idx val="0"/>
              <c:layout>
                <c:manualLayout>
                  <c:x val="-2.4128454848669142E-2"/>
                  <c:y val="3.09546472955746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54-440C-A0AE-71A02B8A5EBE}"/>
                </c:ext>
              </c:extLst>
            </c:dLbl>
            <c:dLbl>
              <c:idx val="1"/>
              <c:layout>
                <c:manualLayout>
                  <c:x val="-2.7191405601365161E-2"/>
                  <c:y val="2.5574729807411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54-440C-A0AE-71A02B8A5EBE}"/>
                </c:ext>
              </c:extLst>
            </c:dLbl>
            <c:dLbl>
              <c:idx val="2"/>
              <c:layout>
                <c:manualLayout>
                  <c:x val="-2.2596979472321171E-2"/>
                  <c:y val="2.0194812319248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54-440C-A0AE-71A02B8A5EBE}"/>
                </c:ext>
              </c:extLst>
            </c:dLbl>
            <c:dLbl>
              <c:idx val="3"/>
              <c:layout>
                <c:manualLayout>
                  <c:x val="-2.8722880977713288E-2"/>
                  <c:y val="2.5574729807411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54-440C-A0AE-71A02B8A5EBE}"/>
                </c:ext>
              </c:extLst>
            </c:dLbl>
            <c:dLbl>
              <c:idx val="4"/>
              <c:layout>
                <c:manualLayout>
                  <c:x val="-2.8722880977713288E-2"/>
                  <c:y val="6.74501859884073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54-440C-A0AE-71A02B8A5EBE}"/>
                </c:ext>
              </c:extLst>
            </c:dLbl>
            <c:dLbl>
              <c:idx val="5"/>
              <c:layout>
                <c:manualLayout>
                  <c:x val="-2.8722880977713288E-2"/>
                  <c:y val="2.8264688551493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54-440C-A0AE-71A02B8A5E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Curves!$T$5:$T$10</c:f>
              <c:numCache>
                <c:formatCode>mmm\-yy</c:formatCode>
                <c:ptCount val="6"/>
                <c:pt idx="0">
                  <c:v>44197</c:v>
                </c:pt>
                <c:pt idx="1">
                  <c:v>44228</c:v>
                </c:pt>
                <c:pt idx="2">
                  <c:v>44256</c:v>
                </c:pt>
                <c:pt idx="3">
                  <c:v>44287</c:v>
                </c:pt>
                <c:pt idx="4">
                  <c:v>44317</c:v>
                </c:pt>
                <c:pt idx="5">
                  <c:v>44348</c:v>
                </c:pt>
              </c:numCache>
            </c:numRef>
          </c:cat>
          <c:val>
            <c:numRef>
              <c:f>Curves!$AC$5:$AC$10</c:f>
              <c:numCache>
                <c:formatCode>0.00</c:formatCode>
                <c:ptCount val="6"/>
                <c:pt idx="0">
                  <c:v>12.251757061955557</c:v>
                </c:pt>
                <c:pt idx="1">
                  <c:v>13.408521768888889</c:v>
                </c:pt>
                <c:pt idx="2">
                  <c:v>17.719813615555559</c:v>
                </c:pt>
                <c:pt idx="3">
                  <c:v>22.820363337777778</c:v>
                </c:pt>
                <c:pt idx="4">
                  <c:v>26.31787444888889</c:v>
                </c:pt>
                <c:pt idx="5">
                  <c:v>32.71670038184628</c:v>
                </c:pt>
              </c:numCache>
            </c:numRef>
          </c:val>
          <c:smooth val="0"/>
          <c:extLst>
            <c:ext xmlns:c16="http://schemas.microsoft.com/office/drawing/2014/chart" uri="{C3380CC4-5D6E-409C-BE32-E72D297353CC}">
              <c16:uniqueId val="{0000000E-FEF8-42AF-ABE0-773CFD078F9C}"/>
            </c:ext>
          </c:extLst>
        </c:ser>
        <c:ser>
          <c:idx val="2"/>
          <c:order val="2"/>
          <c:tx>
            <c:strRef>
              <c:f>Curves!$AD$3</c:f>
              <c:strCache>
                <c:ptCount val="1"/>
                <c:pt idx="0">
                  <c:v>MEF (%)</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Curves!$T$5:$T$10</c:f>
              <c:numCache>
                <c:formatCode>mmm\-yy</c:formatCode>
                <c:ptCount val="6"/>
                <c:pt idx="0">
                  <c:v>44197</c:v>
                </c:pt>
                <c:pt idx="1">
                  <c:v>44228</c:v>
                </c:pt>
                <c:pt idx="2">
                  <c:v>44256</c:v>
                </c:pt>
                <c:pt idx="3">
                  <c:v>44287</c:v>
                </c:pt>
                <c:pt idx="4">
                  <c:v>44317</c:v>
                </c:pt>
                <c:pt idx="5">
                  <c:v>44348</c:v>
                </c:pt>
              </c:numCache>
            </c:numRef>
          </c:cat>
          <c:val>
            <c:numRef>
              <c:f>Curves!$AD$5:$AD$10</c:f>
              <c:numCache>
                <c:formatCode>0.00</c:formatCode>
                <c:ptCount val="6"/>
                <c:pt idx="0">
                  <c:v>11.393082961315557</c:v>
                </c:pt>
                <c:pt idx="1">
                  <c:v>12.509261939222222</c:v>
                </c:pt>
                <c:pt idx="2">
                  <c:v>16.721753101222227</c:v>
                </c:pt>
                <c:pt idx="3">
                  <c:v>21.690117823444449</c:v>
                </c:pt>
                <c:pt idx="4">
                  <c:v>24.966808934555562</c:v>
                </c:pt>
                <c:pt idx="5">
                  <c:v>30.916761534179614</c:v>
                </c:pt>
              </c:numCache>
            </c:numRef>
          </c:val>
          <c:smooth val="0"/>
          <c:extLst>
            <c:ext xmlns:c16="http://schemas.microsoft.com/office/drawing/2014/chart" uri="{C3380CC4-5D6E-409C-BE32-E72D297353CC}">
              <c16:uniqueId val="{0000000F-FEF8-42AF-ABE0-773CFD078F9C}"/>
            </c:ext>
          </c:extLst>
        </c:ser>
        <c:dLbls>
          <c:dLblPos val="t"/>
          <c:showLegendKey val="0"/>
          <c:showVal val="1"/>
          <c:showCatName val="0"/>
          <c:showSerName val="0"/>
          <c:showPercent val="0"/>
          <c:showBubbleSize val="0"/>
        </c:dLbls>
        <c:smooth val="0"/>
        <c:axId val="533720704"/>
        <c:axId val="533723000"/>
      </c:lineChart>
      <c:dateAx>
        <c:axId val="5337207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723000"/>
        <c:crosses val="autoZero"/>
        <c:auto val="1"/>
        <c:lblOffset val="100"/>
        <c:baseTimeUnit val="months"/>
      </c:dateAx>
      <c:valAx>
        <c:axId val="5337230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720704"/>
        <c:crosses val="autoZero"/>
        <c:crossBetween val="between"/>
      </c:valAx>
      <c:spPr>
        <a:noFill/>
        <a:ln>
          <a:noFill/>
        </a:ln>
        <a:effectLst/>
      </c:spPr>
    </c:plotArea>
    <c:legend>
      <c:legendPos val="b"/>
      <c:layout>
        <c:manualLayout>
          <c:xMode val="edge"/>
          <c:yMode val="edge"/>
          <c:x val="7.6815642614050592E-2"/>
          <c:y val="0.92574140985565045"/>
          <c:w val="0.79860955037105086"/>
          <c:h val="6.1953881425754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CCECFF"/>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CFAVC's DMF Physical Weight Progresses of Outputs to</a:t>
            </a:r>
            <a:r>
              <a:rPr lang="en-US" b="1" baseline="0"/>
              <a:t> date as of June 2021 </a:t>
            </a:r>
            <a:r>
              <a:rPr lang="en-US" sz="1400" b="1" i="0" u="none" strike="noStrike" baseline="0">
                <a:effectLst/>
              </a:rPr>
              <a:t>(%)</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Curves!$AG$3</c:f>
              <c:strCache>
                <c:ptCount val="1"/>
                <c:pt idx="0">
                  <c:v>Output 1 (%)</c:v>
                </c:pt>
              </c:strCache>
            </c:strRef>
          </c:tx>
          <c:spPr>
            <a:ln w="28575" cap="rnd">
              <a:solidFill>
                <a:schemeClr val="accent1"/>
              </a:solidFill>
              <a:round/>
            </a:ln>
            <a:effectLst/>
          </c:spPr>
          <c:marker>
            <c:symbol val="none"/>
          </c:marker>
          <c:dLbls>
            <c:dLbl>
              <c:idx val="1"/>
              <c:layout>
                <c:manualLayout>
                  <c:x val="-3.2913231470468769E-2"/>
                  <c:y val="1.9581288112076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EF8-42AF-ABE0-773CFD078F9C}"/>
                </c:ext>
              </c:extLst>
            </c:dLbl>
            <c:dLbl>
              <c:idx val="2"/>
              <c:layout>
                <c:manualLayout>
                  <c:x val="-4.4899812163044624E-2"/>
                  <c:y val="-2.5554356940263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EF8-42AF-ABE0-773CFD078F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Curves!$T$5:$T$10</c:f>
              <c:numCache>
                <c:formatCode>mmm\-yy</c:formatCode>
                <c:ptCount val="6"/>
                <c:pt idx="0">
                  <c:v>44197</c:v>
                </c:pt>
                <c:pt idx="1">
                  <c:v>44228</c:v>
                </c:pt>
                <c:pt idx="2">
                  <c:v>44256</c:v>
                </c:pt>
                <c:pt idx="3">
                  <c:v>44287</c:v>
                </c:pt>
                <c:pt idx="4">
                  <c:v>44317</c:v>
                </c:pt>
                <c:pt idx="5">
                  <c:v>44348</c:v>
                </c:pt>
              </c:numCache>
            </c:numRef>
          </c:cat>
          <c:val>
            <c:numRef>
              <c:f>Curves!$AG$5:$AG$10</c:f>
              <c:numCache>
                <c:formatCode>0.00</c:formatCode>
                <c:ptCount val="6"/>
                <c:pt idx="0">
                  <c:v>3.1211199999999999</c:v>
                </c:pt>
                <c:pt idx="1">
                  <c:v>2.1442000000000001</c:v>
                </c:pt>
                <c:pt idx="2">
                  <c:v>3.1211199999999999</c:v>
                </c:pt>
                <c:pt idx="3">
                  <c:v>8.48</c:v>
                </c:pt>
                <c:pt idx="4">
                  <c:v>9.6000000000000014</c:v>
                </c:pt>
                <c:pt idx="5">
                  <c:v>1.8199999999999998</c:v>
                </c:pt>
              </c:numCache>
            </c:numRef>
          </c:val>
          <c:smooth val="0"/>
          <c:extLst>
            <c:ext xmlns:c16="http://schemas.microsoft.com/office/drawing/2014/chart" uri="{C3380CC4-5D6E-409C-BE32-E72D297353CC}">
              <c16:uniqueId val="{00000000-5F17-4B14-BDA5-9AB89380E010}"/>
            </c:ext>
          </c:extLst>
        </c:ser>
        <c:ser>
          <c:idx val="1"/>
          <c:order val="1"/>
          <c:tx>
            <c:strRef>
              <c:f>Curves!$AH$3</c:f>
              <c:strCache>
                <c:ptCount val="1"/>
                <c:pt idx="0">
                  <c:v>Output 2 (%)</c:v>
                </c:pt>
              </c:strCache>
            </c:strRef>
          </c:tx>
          <c:spPr>
            <a:ln w="28575" cap="rnd">
              <a:solidFill>
                <a:schemeClr val="accent2"/>
              </a:solidFill>
              <a:round/>
            </a:ln>
            <a:effectLst/>
          </c:spPr>
          <c:marker>
            <c:symbol val="none"/>
          </c:marker>
          <c:dLbls>
            <c:dLbl>
              <c:idx val="1"/>
              <c:layout>
                <c:manualLayout>
                  <c:x val="-3.4910994919231407E-2"/>
                  <c:y val="-1.9536270933284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7-4D8C-9A07-DD14A345C843}"/>
                </c:ext>
              </c:extLst>
            </c:dLbl>
            <c:dLbl>
              <c:idx val="2"/>
              <c:layout>
                <c:manualLayout>
                  <c:x val="-3.0915468021706166E-2"/>
                  <c:y val="1.9581288112076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C7-4D8C-9A07-DD14A345C8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Curves!$T$5:$T$10</c:f>
              <c:numCache>
                <c:formatCode>mmm\-yy</c:formatCode>
                <c:ptCount val="6"/>
                <c:pt idx="0">
                  <c:v>44197</c:v>
                </c:pt>
                <c:pt idx="1">
                  <c:v>44228</c:v>
                </c:pt>
                <c:pt idx="2">
                  <c:v>44256</c:v>
                </c:pt>
                <c:pt idx="3">
                  <c:v>44287</c:v>
                </c:pt>
                <c:pt idx="4">
                  <c:v>44317</c:v>
                </c:pt>
                <c:pt idx="5">
                  <c:v>44348</c:v>
                </c:pt>
              </c:numCache>
            </c:numRef>
          </c:cat>
          <c:val>
            <c:numRef>
              <c:f>Curves!$AH$5:$AH$10</c:f>
              <c:numCache>
                <c:formatCode>0.00</c:formatCode>
                <c:ptCount val="6"/>
                <c:pt idx="0">
                  <c:v>2.7075</c:v>
                </c:pt>
                <c:pt idx="1">
                  <c:v>5.1025</c:v>
                </c:pt>
                <c:pt idx="2">
                  <c:v>5.165</c:v>
                </c:pt>
                <c:pt idx="3">
                  <c:v>37.5</c:v>
                </c:pt>
                <c:pt idx="4">
                  <c:v>10</c:v>
                </c:pt>
                <c:pt idx="5">
                  <c:v>0</c:v>
                </c:pt>
              </c:numCache>
            </c:numRef>
          </c:val>
          <c:smooth val="0"/>
          <c:extLst>
            <c:ext xmlns:c16="http://schemas.microsoft.com/office/drawing/2014/chart" uri="{C3380CC4-5D6E-409C-BE32-E72D297353CC}">
              <c16:uniqueId val="{00000000-11C7-4D8C-9A07-DD14A345C843}"/>
            </c:ext>
          </c:extLst>
        </c:ser>
        <c:ser>
          <c:idx val="2"/>
          <c:order val="2"/>
          <c:tx>
            <c:strRef>
              <c:f>Curves!$AI$3</c:f>
              <c:strCache>
                <c:ptCount val="1"/>
                <c:pt idx="0">
                  <c:v>Output 3 (%)</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Curves!$T$5:$T$10</c:f>
              <c:numCache>
                <c:formatCode>mmm\-yy</c:formatCode>
                <c:ptCount val="6"/>
                <c:pt idx="0">
                  <c:v>44197</c:v>
                </c:pt>
                <c:pt idx="1">
                  <c:v>44228</c:v>
                </c:pt>
                <c:pt idx="2">
                  <c:v>44256</c:v>
                </c:pt>
                <c:pt idx="3">
                  <c:v>44287</c:v>
                </c:pt>
                <c:pt idx="4">
                  <c:v>44317</c:v>
                </c:pt>
                <c:pt idx="5">
                  <c:v>44348</c:v>
                </c:pt>
              </c:numCache>
            </c:numRef>
          </c:cat>
          <c:val>
            <c:numRef>
              <c:f>Curves!$AI$5:$AI$10</c:f>
              <c:numCache>
                <c:formatCode>0.00</c:formatCode>
                <c:ptCount val="6"/>
                <c:pt idx="0">
                  <c:v>0</c:v>
                </c:pt>
                <c:pt idx="1">
                  <c:v>0</c:v>
                </c:pt>
                <c:pt idx="2">
                  <c:v>0</c:v>
                </c:pt>
                <c:pt idx="3">
                  <c:v>0</c:v>
                </c:pt>
                <c:pt idx="4">
                  <c:v>0</c:v>
                </c:pt>
                <c:pt idx="5">
                  <c:v>11</c:v>
                </c:pt>
              </c:numCache>
            </c:numRef>
          </c:val>
          <c:smooth val="0"/>
          <c:extLst>
            <c:ext xmlns:c16="http://schemas.microsoft.com/office/drawing/2014/chart" uri="{C3380CC4-5D6E-409C-BE32-E72D297353CC}">
              <c16:uniqueId val="{00000001-11C7-4D8C-9A07-DD14A345C843}"/>
            </c:ext>
          </c:extLst>
        </c:ser>
        <c:dLbls>
          <c:dLblPos val="t"/>
          <c:showLegendKey val="0"/>
          <c:showVal val="1"/>
          <c:showCatName val="0"/>
          <c:showSerName val="0"/>
          <c:showPercent val="0"/>
          <c:showBubbleSize val="0"/>
        </c:dLbls>
        <c:smooth val="0"/>
        <c:axId val="533720704"/>
        <c:axId val="533723000"/>
      </c:lineChart>
      <c:dateAx>
        <c:axId val="5337207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723000"/>
        <c:crosses val="autoZero"/>
        <c:auto val="1"/>
        <c:lblOffset val="100"/>
        <c:baseTimeUnit val="months"/>
      </c:dateAx>
      <c:valAx>
        <c:axId val="5337230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720704"/>
        <c:crosses val="autoZero"/>
        <c:crossBetween val="between"/>
      </c:valAx>
      <c:spPr>
        <a:noFill/>
        <a:ln>
          <a:noFill/>
        </a:ln>
        <a:effectLst/>
      </c:spPr>
    </c:plotArea>
    <c:legend>
      <c:legendPos val="b"/>
      <c:layout>
        <c:manualLayout>
          <c:xMode val="edge"/>
          <c:yMode val="edge"/>
          <c:x val="7.6815642614050592E-2"/>
          <c:y val="0.92574140985565045"/>
          <c:w val="0.83584503584884262"/>
          <c:h val="7.42586796082368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CCECFF"/>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CFAVC's Cumulative Weight Progresses of MEF, IAs, DMF to</a:t>
            </a:r>
            <a:r>
              <a:rPr lang="en-US" b="1" baseline="0"/>
              <a:t> date as of June 2021 </a:t>
            </a:r>
            <a:r>
              <a:rPr lang="en-US" sz="1400" b="1" i="0" u="none" strike="noStrike" baseline="0">
                <a:effectLst/>
              </a:rPr>
              <a:t>(%)</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Curves!$AA$3</c:f>
              <c:strCache>
                <c:ptCount val="1"/>
                <c:pt idx="0">
                  <c:v>Budget (%)</c:v>
                </c:pt>
              </c:strCache>
            </c:strRef>
          </c:tx>
          <c:spPr>
            <a:ln w="28575" cap="rnd">
              <a:solidFill>
                <a:schemeClr val="accent1"/>
              </a:solidFill>
              <a:round/>
            </a:ln>
            <a:effectLst/>
          </c:spPr>
          <c:marker>
            <c:symbol val="none"/>
          </c:marker>
          <c:dLbls>
            <c:dLbl>
              <c:idx val="0"/>
              <c:layout>
                <c:manualLayout>
                  <c:x val="-2.1766123933499224E-2"/>
                  <c:y val="-1.4447084301378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EF8-42AF-ABE0-773CFD078F9C}"/>
                </c:ext>
              </c:extLst>
            </c:dLbl>
            <c:dLbl>
              <c:idx val="1"/>
              <c:layout>
                <c:manualLayout>
                  <c:x val="-2.3297599309847254E-2"/>
                  <c:y val="1.2255185391545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EF8-42AF-ABE0-773CFD078F9C}"/>
                </c:ext>
              </c:extLst>
            </c:dLbl>
            <c:dLbl>
              <c:idx val="2"/>
              <c:layout>
                <c:manualLayout>
                  <c:x val="-2.329759930984731E-2"/>
                  <c:y val="1.89307528147766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EF8-42AF-ABE0-773CFD078F9C}"/>
                </c:ext>
              </c:extLst>
            </c:dLbl>
            <c:dLbl>
              <c:idx val="3"/>
              <c:layout>
                <c:manualLayout>
                  <c:x val="-2.1766123933499353E-2"/>
                  <c:y val="2.5606320238007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EF8-42AF-ABE0-773CFD078F9C}"/>
                </c:ext>
              </c:extLst>
            </c:dLbl>
            <c:dLbl>
              <c:idx val="5"/>
              <c:layout>
                <c:manualLayout>
                  <c:x val="-2.3297599309847143E-2"/>
                  <c:y val="1.89307528147766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EF8-42AF-ABE0-773CFD078F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Curves!$T$5:$T$10</c:f>
              <c:numCache>
                <c:formatCode>mmm\-yy</c:formatCode>
                <c:ptCount val="6"/>
                <c:pt idx="0">
                  <c:v>44197</c:v>
                </c:pt>
                <c:pt idx="1">
                  <c:v>44228</c:v>
                </c:pt>
                <c:pt idx="2">
                  <c:v>44256</c:v>
                </c:pt>
                <c:pt idx="3">
                  <c:v>44287</c:v>
                </c:pt>
                <c:pt idx="4">
                  <c:v>44317</c:v>
                </c:pt>
                <c:pt idx="5">
                  <c:v>44348</c:v>
                </c:pt>
              </c:numCache>
            </c:numRef>
          </c:cat>
          <c:val>
            <c:numRef>
              <c:f>Curves!$AA$5:$AA$10</c:f>
              <c:numCache>
                <c:formatCode>_(* #,##0.0_);_(* \(#,##0.0\);_(* "-"??_);_(@_)</c:formatCode>
                <c:ptCount val="6"/>
                <c:pt idx="0">
                  <c:v>2.7</c:v>
                </c:pt>
                <c:pt idx="1">
                  <c:v>2.7</c:v>
                </c:pt>
                <c:pt idx="2">
                  <c:v>2.9</c:v>
                </c:pt>
                <c:pt idx="3">
                  <c:v>2.9</c:v>
                </c:pt>
                <c:pt idx="4">
                  <c:v>3.1</c:v>
                </c:pt>
                <c:pt idx="5">
                  <c:v>3.3</c:v>
                </c:pt>
              </c:numCache>
            </c:numRef>
          </c:val>
          <c:smooth val="0"/>
          <c:extLst>
            <c:ext xmlns:c16="http://schemas.microsoft.com/office/drawing/2014/chart" uri="{C3380CC4-5D6E-409C-BE32-E72D297353CC}">
              <c16:uniqueId val="{00000000-5F17-4B14-BDA5-9AB89380E010}"/>
            </c:ext>
          </c:extLst>
        </c:ser>
        <c:ser>
          <c:idx val="1"/>
          <c:order val="1"/>
          <c:tx>
            <c:strRef>
              <c:f>Curves!$AB$3</c:f>
              <c:strCache>
                <c:ptCount val="1"/>
                <c:pt idx="0">
                  <c:v>DMF (%)</c:v>
                </c:pt>
              </c:strCache>
            </c:strRef>
          </c:tx>
          <c:spPr>
            <a:ln w="28575" cap="rnd">
              <a:solidFill>
                <a:srgbClr val="CC00CC"/>
              </a:solidFill>
              <a:round/>
            </a:ln>
            <a:effectLst/>
          </c:spPr>
          <c:marker>
            <c:symbol val="none"/>
          </c:marker>
          <c:dLbls>
            <c:dLbl>
              <c:idx val="0"/>
              <c:layout>
                <c:manualLayout>
                  <c:x val="-2.3699693788276466E-2"/>
                  <c:y val="1.2225778290932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EF8-42AF-ABE0-773CFD078F9C}"/>
                </c:ext>
              </c:extLst>
            </c:dLbl>
            <c:dLbl>
              <c:idx val="4"/>
              <c:layout>
                <c:manualLayout>
                  <c:x val="-2.6762592495987714E-2"/>
                  <c:y val="5.579617968314545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F8-42AF-ABE0-773CFD078F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Curves!$T$5:$T$10</c:f>
              <c:numCache>
                <c:formatCode>mmm\-yy</c:formatCode>
                <c:ptCount val="6"/>
                <c:pt idx="0">
                  <c:v>44197</c:v>
                </c:pt>
                <c:pt idx="1">
                  <c:v>44228</c:v>
                </c:pt>
                <c:pt idx="2">
                  <c:v>44256</c:v>
                </c:pt>
                <c:pt idx="3">
                  <c:v>44287</c:v>
                </c:pt>
                <c:pt idx="4">
                  <c:v>44317</c:v>
                </c:pt>
                <c:pt idx="5">
                  <c:v>44348</c:v>
                </c:pt>
              </c:numCache>
            </c:numRef>
          </c:cat>
          <c:val>
            <c:numRef>
              <c:f>Curves!$AB$5:$AB$10</c:f>
              <c:numCache>
                <c:formatCode>0.00</c:formatCode>
                <c:ptCount val="6"/>
                <c:pt idx="0">
                  <c:v>2.4889170619555556</c:v>
                </c:pt>
                <c:pt idx="1">
                  <c:v>3.6456817688888892</c:v>
                </c:pt>
                <c:pt idx="2">
                  <c:v>4.3112918466666663</c:v>
                </c:pt>
                <c:pt idx="3">
                  <c:v>5.1005497222222216</c:v>
                </c:pt>
                <c:pt idx="4">
                  <c:v>3.4975111111111117</c:v>
                </c:pt>
                <c:pt idx="5">
                  <c:v>6.3988259329573944</c:v>
                </c:pt>
              </c:numCache>
            </c:numRef>
          </c:val>
          <c:smooth val="0"/>
          <c:extLst>
            <c:ext xmlns:c16="http://schemas.microsoft.com/office/drawing/2014/chart" uri="{C3380CC4-5D6E-409C-BE32-E72D297353CC}">
              <c16:uniqueId val="{00000010-2D9C-41D0-A97F-677B87768819}"/>
            </c:ext>
          </c:extLst>
        </c:ser>
        <c:ser>
          <c:idx val="2"/>
          <c:order val="2"/>
          <c:tx>
            <c:strRef>
              <c:f>Curves!$AC$3</c:f>
              <c:strCache>
                <c:ptCount val="1"/>
                <c:pt idx="0">
                  <c:v>IAs (%)</c:v>
                </c:pt>
              </c:strCache>
            </c:strRef>
          </c:tx>
          <c:spPr>
            <a:ln w="28575" cap="rnd">
              <a:solidFill>
                <a:schemeClr val="accent3"/>
              </a:solidFill>
              <a:round/>
            </a:ln>
            <a:effectLst/>
          </c:spPr>
          <c:marker>
            <c:symbol val="none"/>
          </c:marker>
          <c:dLbls>
            <c:dLbl>
              <c:idx val="0"/>
              <c:layout>
                <c:manualLayout>
                  <c:x val="-2.4128454848669142E-2"/>
                  <c:y val="3.09546472955746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F8-42AF-ABE0-773CFD078F9C}"/>
                </c:ext>
              </c:extLst>
            </c:dLbl>
            <c:dLbl>
              <c:idx val="1"/>
              <c:layout>
                <c:manualLayout>
                  <c:x val="-2.7191405601365161E-2"/>
                  <c:y val="2.5574729807411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F8-42AF-ABE0-773CFD078F9C}"/>
                </c:ext>
              </c:extLst>
            </c:dLbl>
            <c:dLbl>
              <c:idx val="2"/>
              <c:layout>
                <c:manualLayout>
                  <c:x val="-2.2596979472321171E-2"/>
                  <c:y val="2.0194812319248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F8-42AF-ABE0-773CFD078F9C}"/>
                </c:ext>
              </c:extLst>
            </c:dLbl>
            <c:dLbl>
              <c:idx val="3"/>
              <c:layout>
                <c:manualLayout>
                  <c:x val="-2.8722880977713288E-2"/>
                  <c:y val="2.5574729807411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F8-42AF-ABE0-773CFD078F9C}"/>
                </c:ext>
              </c:extLst>
            </c:dLbl>
            <c:dLbl>
              <c:idx val="4"/>
              <c:layout>
                <c:manualLayout>
                  <c:x val="-2.8722880977713288E-2"/>
                  <c:y val="6.74501859884073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F8-42AF-ABE0-773CFD078F9C}"/>
                </c:ext>
              </c:extLst>
            </c:dLbl>
            <c:dLbl>
              <c:idx val="5"/>
              <c:layout>
                <c:manualLayout>
                  <c:x val="-2.8722880977713288E-2"/>
                  <c:y val="2.8264688551493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F8-42AF-ABE0-773CFD078F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Curves!$T$5:$T$10</c:f>
              <c:numCache>
                <c:formatCode>mmm\-yy</c:formatCode>
                <c:ptCount val="6"/>
                <c:pt idx="0">
                  <c:v>44197</c:v>
                </c:pt>
                <c:pt idx="1">
                  <c:v>44228</c:v>
                </c:pt>
                <c:pt idx="2">
                  <c:v>44256</c:v>
                </c:pt>
                <c:pt idx="3">
                  <c:v>44287</c:v>
                </c:pt>
                <c:pt idx="4">
                  <c:v>44317</c:v>
                </c:pt>
                <c:pt idx="5">
                  <c:v>44348</c:v>
                </c:pt>
              </c:numCache>
            </c:numRef>
          </c:cat>
          <c:val>
            <c:numRef>
              <c:f>Curves!$AC$5:$AC$10</c:f>
              <c:numCache>
                <c:formatCode>0.00</c:formatCode>
                <c:ptCount val="6"/>
                <c:pt idx="0">
                  <c:v>12.251757061955557</c:v>
                </c:pt>
                <c:pt idx="1">
                  <c:v>13.408521768888889</c:v>
                </c:pt>
                <c:pt idx="2">
                  <c:v>17.719813615555559</c:v>
                </c:pt>
                <c:pt idx="3">
                  <c:v>22.820363337777778</c:v>
                </c:pt>
                <c:pt idx="4">
                  <c:v>26.31787444888889</c:v>
                </c:pt>
                <c:pt idx="5">
                  <c:v>32.71670038184628</c:v>
                </c:pt>
              </c:numCache>
            </c:numRef>
          </c:val>
          <c:smooth val="0"/>
          <c:extLst>
            <c:ext xmlns:c16="http://schemas.microsoft.com/office/drawing/2014/chart" uri="{C3380CC4-5D6E-409C-BE32-E72D297353CC}">
              <c16:uniqueId val="{00000011-2D9C-41D0-A97F-677B87768819}"/>
            </c:ext>
          </c:extLst>
        </c:ser>
        <c:ser>
          <c:idx val="3"/>
          <c:order val="3"/>
          <c:tx>
            <c:strRef>
              <c:f>Curves!$AD$3</c:f>
              <c:strCache>
                <c:ptCount val="1"/>
                <c:pt idx="0">
                  <c:v>MEF (%)</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Curves!$T$5:$T$10</c:f>
              <c:numCache>
                <c:formatCode>mmm\-yy</c:formatCode>
                <c:ptCount val="6"/>
                <c:pt idx="0">
                  <c:v>44197</c:v>
                </c:pt>
                <c:pt idx="1">
                  <c:v>44228</c:v>
                </c:pt>
                <c:pt idx="2">
                  <c:v>44256</c:v>
                </c:pt>
                <c:pt idx="3">
                  <c:v>44287</c:v>
                </c:pt>
                <c:pt idx="4">
                  <c:v>44317</c:v>
                </c:pt>
                <c:pt idx="5">
                  <c:v>44348</c:v>
                </c:pt>
              </c:numCache>
            </c:numRef>
          </c:cat>
          <c:val>
            <c:numRef>
              <c:f>Curves!$AD$5:$AD$10</c:f>
              <c:numCache>
                <c:formatCode>0.00</c:formatCode>
                <c:ptCount val="6"/>
                <c:pt idx="0">
                  <c:v>11.393082961315557</c:v>
                </c:pt>
                <c:pt idx="1">
                  <c:v>12.509261939222222</c:v>
                </c:pt>
                <c:pt idx="2">
                  <c:v>16.721753101222227</c:v>
                </c:pt>
                <c:pt idx="3">
                  <c:v>21.690117823444449</c:v>
                </c:pt>
                <c:pt idx="4">
                  <c:v>24.966808934555562</c:v>
                </c:pt>
                <c:pt idx="5">
                  <c:v>30.916761534179614</c:v>
                </c:pt>
              </c:numCache>
            </c:numRef>
          </c:val>
          <c:smooth val="0"/>
          <c:extLst>
            <c:ext xmlns:c16="http://schemas.microsoft.com/office/drawing/2014/chart" uri="{C3380CC4-5D6E-409C-BE32-E72D297353CC}">
              <c16:uniqueId val="{00000012-2D9C-41D0-A97F-677B87768819}"/>
            </c:ext>
          </c:extLst>
        </c:ser>
        <c:dLbls>
          <c:dLblPos val="t"/>
          <c:showLegendKey val="0"/>
          <c:showVal val="1"/>
          <c:showCatName val="0"/>
          <c:showSerName val="0"/>
          <c:showPercent val="0"/>
          <c:showBubbleSize val="0"/>
        </c:dLbls>
        <c:smooth val="0"/>
        <c:axId val="533720704"/>
        <c:axId val="533723000"/>
      </c:lineChart>
      <c:dateAx>
        <c:axId val="5337207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723000"/>
        <c:crosses val="autoZero"/>
        <c:auto val="1"/>
        <c:lblOffset val="100"/>
        <c:baseTimeUnit val="months"/>
      </c:dateAx>
      <c:valAx>
        <c:axId val="533723000"/>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720704"/>
        <c:crosses val="autoZero"/>
        <c:crossBetween val="between"/>
      </c:valAx>
      <c:spPr>
        <a:noFill/>
        <a:ln>
          <a:noFill/>
        </a:ln>
        <a:effectLst/>
      </c:spPr>
    </c:plotArea>
    <c:legend>
      <c:legendPos val="b"/>
      <c:layout>
        <c:manualLayout>
          <c:xMode val="edge"/>
          <c:yMode val="edge"/>
          <c:x val="7.6815642614050592E-2"/>
          <c:y val="0.92574140985565045"/>
          <c:w val="0.79860955037105086"/>
          <c:h val="6.1953881425754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CCECFF"/>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0.png"/><Relationship Id="rId4"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1.png"/><Relationship Id="rId4" Type="http://schemas.openxmlformats.org/officeDocument/2006/relationships/image" Target="../media/image7.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44394</xdr:colOff>
      <xdr:row>0</xdr:row>
      <xdr:rowOff>48271</xdr:rowOff>
    </xdr:from>
    <xdr:ext cx="730277" cy="732779"/>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94" y="48271"/>
          <a:ext cx="730277" cy="732779"/>
        </a:xfrm>
        <a:prstGeom prst="rect">
          <a:avLst/>
        </a:prstGeom>
        <a:noFill/>
      </xdr:spPr>
    </xdr:pic>
    <xdr:clientData/>
  </xdr:oneCellAnchor>
  <xdr:twoCellAnchor>
    <xdr:from>
      <xdr:col>1</xdr:col>
      <xdr:colOff>2533650</xdr:colOff>
      <xdr:row>0</xdr:row>
      <xdr:rowOff>95250</xdr:rowOff>
    </xdr:from>
    <xdr:to>
      <xdr:col>2</xdr:col>
      <xdr:colOff>2431479</xdr:colOff>
      <xdr:row>1</xdr:row>
      <xdr:rowOff>295275</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3037915" y="95250"/>
          <a:ext cx="3324588" cy="625849"/>
          <a:chOff x="2645346" y="180975"/>
          <a:chExt cx="3441129" cy="628650"/>
        </a:xfrm>
      </xdr:grpSpPr>
      <xdr:grpSp>
        <xdr:nvGrpSpPr>
          <xdr:cNvPr id="10" name="Group 9">
            <a:extLst>
              <a:ext uri="{FF2B5EF4-FFF2-40B4-BE49-F238E27FC236}">
                <a16:creationId xmlns:a16="http://schemas.microsoft.com/office/drawing/2014/main" id="{00000000-0008-0000-0200-00000A000000}"/>
              </a:ext>
            </a:extLst>
          </xdr:cNvPr>
          <xdr:cNvGrpSpPr/>
        </xdr:nvGrpSpPr>
        <xdr:grpSpPr>
          <a:xfrm>
            <a:off x="2645346" y="218100"/>
            <a:ext cx="1958549" cy="534375"/>
            <a:chOff x="9960092" y="64157"/>
            <a:chExt cx="4030818" cy="1018734"/>
          </a:xfrm>
        </xdr:grpSpPr>
        <xdr:pic>
          <xdr:nvPicPr>
            <xdr:cNvPr id="12" name="Picture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0092" y="82315"/>
              <a:ext cx="1385889" cy="893704"/>
            </a:xfrm>
            <a:prstGeom prst="rect">
              <a:avLst/>
            </a:prstGeom>
            <a:noFill/>
          </xdr:spPr>
        </xdr:pic>
        <xdr:pic>
          <xdr:nvPicPr>
            <xdr:cNvPr id="13" name="Picture 1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363333" y="64157"/>
              <a:ext cx="952501" cy="870185"/>
            </a:xfrm>
            <a:prstGeom prst="rect">
              <a:avLst/>
            </a:prstGeom>
            <a:noFill/>
          </xdr:spPr>
        </xdr:pic>
        <xdr:pic>
          <xdr:nvPicPr>
            <xdr:cNvPr id="14" name="Pictur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41244" y="106872"/>
              <a:ext cx="1549666" cy="976019"/>
            </a:xfrm>
            <a:prstGeom prst="rect">
              <a:avLst/>
            </a:prstGeom>
            <a:noFill/>
          </xdr:spPr>
        </xdr:pic>
      </xdr:grpSp>
      <xdr:pic>
        <xdr:nvPicPr>
          <xdr:cNvPr id="11" name="Picture 10">
            <a:extLst>
              <a:ext uri="{FF2B5EF4-FFF2-40B4-BE49-F238E27FC236}">
                <a16:creationId xmlns:a16="http://schemas.microsoft.com/office/drawing/2014/main" id="{00000000-0008-0000-0200-00000B000000}"/>
              </a:ext>
            </a:extLst>
          </xdr:cNvPr>
          <xdr:cNvPicPr/>
        </xdr:nvPicPr>
        <xdr:blipFill rotWithShape="1">
          <a:blip xmlns:r="http://schemas.openxmlformats.org/officeDocument/2006/relationships" r:embed="rId5"/>
          <a:srcRect l="27564" t="38198" r="47116" b="48974"/>
          <a:stretch/>
        </xdr:blipFill>
        <xdr:spPr bwMode="auto">
          <a:xfrm>
            <a:off x="4629150" y="180975"/>
            <a:ext cx="1457325" cy="628650"/>
          </a:xfrm>
          <a:prstGeom prst="rect">
            <a:avLst/>
          </a:prstGeom>
          <a:ln>
            <a:noFill/>
          </a:ln>
          <a:extLst>
            <a:ext uri="{53640926-AAD7-44D8-BBD7-CCE9431645EC}">
              <a14:shadowObscured xmlns:a14="http://schemas.microsoft.com/office/drawing/2010/main"/>
            </a:ext>
          </a:extLst>
        </xdr:spPr>
      </xdr:pic>
    </xdr:grpSp>
    <xdr:clientData/>
  </xdr:twoCellAnchor>
  <xdr:twoCellAnchor>
    <xdr:from>
      <xdr:col>0</xdr:col>
      <xdr:colOff>132789</xdr:colOff>
      <xdr:row>16</xdr:row>
      <xdr:rowOff>1040467</xdr:rowOff>
    </xdr:from>
    <xdr:to>
      <xdr:col>2</xdr:col>
      <xdr:colOff>2161614</xdr:colOff>
      <xdr:row>16</xdr:row>
      <xdr:rowOff>1545292</xdr:rowOff>
    </xdr:to>
    <xdr:sp macro="" textlink="">
      <xdr:nvSpPr>
        <xdr:cNvPr id="15" name="Rectangle 14">
          <a:extLst>
            <a:ext uri="{FF2B5EF4-FFF2-40B4-BE49-F238E27FC236}">
              <a16:creationId xmlns:a16="http://schemas.microsoft.com/office/drawing/2014/main" id="{00000000-0008-0000-0200-00000F000000}"/>
            </a:ext>
          </a:extLst>
        </xdr:cNvPr>
        <xdr:cNvSpPr/>
      </xdr:nvSpPr>
      <xdr:spPr>
        <a:xfrm>
          <a:off x="132789" y="21143820"/>
          <a:ext cx="6074149" cy="504825"/>
        </a:xfrm>
        <a:prstGeom prst="rect">
          <a:avLst/>
        </a:prstGeom>
        <a:no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0</xdr:col>
      <xdr:colOff>33615</xdr:colOff>
      <xdr:row>13</xdr:row>
      <xdr:rowOff>241512</xdr:rowOff>
    </xdr:from>
    <xdr:to>
      <xdr:col>2</xdr:col>
      <xdr:colOff>1670460</xdr:colOff>
      <xdr:row>13</xdr:row>
      <xdr:rowOff>3339353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6"/>
        <a:srcRect l="5426" t="28495" r="59777" b="30906"/>
        <a:stretch/>
      </xdr:blipFill>
      <xdr:spPr>
        <a:xfrm>
          <a:off x="33615" y="12063718"/>
          <a:ext cx="5682169" cy="3097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32656</xdr:colOff>
      <xdr:row>0</xdr:row>
      <xdr:rowOff>32657</xdr:rowOff>
    </xdr:from>
    <xdr:to>
      <xdr:col>1</xdr:col>
      <xdr:colOff>634896</xdr:colOff>
      <xdr:row>5</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6" y="32657"/>
          <a:ext cx="973715" cy="1015093"/>
        </a:xfrm>
        <a:prstGeom prst="rect">
          <a:avLst/>
        </a:prstGeom>
        <a:noFill/>
      </xdr:spPr>
    </xdr:pic>
    <xdr:clientData/>
  </xdr:twoCellAnchor>
  <xdr:twoCellAnchor>
    <xdr:from>
      <xdr:col>15</xdr:col>
      <xdr:colOff>68035</xdr:colOff>
      <xdr:row>0</xdr:row>
      <xdr:rowOff>112695</xdr:rowOff>
    </xdr:from>
    <xdr:to>
      <xdr:col>24</xdr:col>
      <xdr:colOff>367392</xdr:colOff>
      <xdr:row>4</xdr:row>
      <xdr:rowOff>258535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13294178" y="112695"/>
          <a:ext cx="5660572" cy="907840"/>
          <a:chOff x="9207497" y="0"/>
          <a:chExt cx="6436395" cy="1001346"/>
        </a:xfrm>
      </xdr:grpSpPr>
      <xdr:grpSp>
        <xdr:nvGrpSpPr>
          <xdr:cNvPr id="4" name="Group 3">
            <a:extLst>
              <a:ext uri="{FF2B5EF4-FFF2-40B4-BE49-F238E27FC236}">
                <a16:creationId xmlns:a16="http://schemas.microsoft.com/office/drawing/2014/main" id="{00000000-0008-0000-0300-000004000000}"/>
              </a:ext>
            </a:extLst>
          </xdr:cNvPr>
          <xdr:cNvGrpSpPr/>
        </xdr:nvGrpSpPr>
        <xdr:grpSpPr>
          <a:xfrm>
            <a:off x="9207497" y="0"/>
            <a:ext cx="4054231" cy="1001346"/>
            <a:chOff x="9960092" y="70555"/>
            <a:chExt cx="4266055" cy="976019"/>
          </a:xfrm>
        </xdr:grpSpPr>
        <xdr:pic>
          <xdr:nvPicPr>
            <xdr:cNvPr id="9" name="Picture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0092" y="82315"/>
              <a:ext cx="1385889" cy="893704"/>
            </a:xfrm>
            <a:prstGeom prst="rect">
              <a:avLst/>
            </a:prstGeom>
            <a:noFill/>
          </xdr:spPr>
        </xdr:pic>
        <xdr:pic>
          <xdr:nvPicPr>
            <xdr:cNvPr id="10" name="Picture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00554" y="82315"/>
              <a:ext cx="952500" cy="870185"/>
            </a:xfrm>
            <a:prstGeom prst="rect">
              <a:avLst/>
            </a:prstGeom>
            <a:noFill/>
          </xdr:spPr>
        </xdr:pic>
        <xdr:pic>
          <xdr:nvPicPr>
            <xdr:cNvPr id="11" name="Picture 10">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76481" y="70555"/>
              <a:ext cx="1549666" cy="976019"/>
            </a:xfrm>
            <a:prstGeom prst="rect">
              <a:avLst/>
            </a:prstGeom>
            <a:noFill/>
          </xdr:spPr>
        </xdr:pic>
      </xdr:grpSp>
      <xdr:grpSp>
        <xdr:nvGrpSpPr>
          <xdr:cNvPr id="5" name="Group 4">
            <a:extLst>
              <a:ext uri="{FF2B5EF4-FFF2-40B4-BE49-F238E27FC236}">
                <a16:creationId xmlns:a16="http://schemas.microsoft.com/office/drawing/2014/main" id="{00000000-0008-0000-0300-000005000000}"/>
              </a:ext>
            </a:extLst>
          </xdr:cNvPr>
          <xdr:cNvGrpSpPr>
            <a:grpSpLocks noChangeAspect="1"/>
          </xdr:cNvGrpSpPr>
        </xdr:nvGrpSpPr>
        <xdr:grpSpPr bwMode="auto">
          <a:xfrm>
            <a:off x="13444910" y="24424"/>
            <a:ext cx="2198982" cy="920030"/>
            <a:chOff x="7055" y="14930"/>
            <a:chExt cx="3894" cy="1575"/>
          </a:xfrm>
        </xdr:grpSpPr>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6427" b="17262"/>
            <a:stretch>
              <a:fillRect/>
            </a:stretch>
          </xdr:blipFill>
          <xdr:spPr bwMode="auto">
            <a:xfrm>
              <a:off x="7055" y="15300"/>
              <a:ext cx="3894" cy="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Text Box 19">
              <a:extLst>
                <a:ext uri="{FF2B5EF4-FFF2-40B4-BE49-F238E27FC236}">
                  <a16:creationId xmlns:a16="http://schemas.microsoft.com/office/drawing/2014/main" id="{00000000-0008-0000-0300-000007000000}"/>
                </a:ext>
              </a:extLst>
            </xdr:cNvPr>
            <xdr:cNvSpPr txBox="1">
              <a:spLocks noChangeAspect="1" noChangeArrowheads="1"/>
            </xdr:cNvSpPr>
          </xdr:nvSpPr>
          <xdr:spPr bwMode="auto">
            <a:xfrm>
              <a:off x="7070" y="16097"/>
              <a:ext cx="3416"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en-GB" sz="800" i="1">
                  <a:effectLst/>
                  <a:latin typeface="Arial" panose="020B0604020202020204" pitchFamily="34" charset="0"/>
                  <a:ea typeface="Calibri" panose="020F0502020204030204" pitchFamily="34" charset="0"/>
                  <a:cs typeface="Arial" panose="020B0604020202020204" pitchFamily="34" charset="0"/>
                </a:rPr>
                <a:t>in JV with </a:t>
              </a:r>
              <a:r>
                <a:rPr lang="en-GB" sz="800" b="1" i="1">
                  <a:solidFill>
                    <a:srgbClr val="44546A"/>
                  </a:solidFill>
                  <a:effectLst/>
                  <a:latin typeface="Arial" panose="020B0604020202020204" pitchFamily="34" charset="0"/>
                  <a:ea typeface="Calibri" panose="020F0502020204030204" pitchFamily="34" charset="0"/>
                  <a:cs typeface="Arial" panose="020B0604020202020204" pitchFamily="34" charset="0"/>
                </a:rPr>
                <a:t>SBK Research and Development</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8" name="Text Box 19">
              <a:extLst>
                <a:ext uri="{FF2B5EF4-FFF2-40B4-BE49-F238E27FC236}">
                  <a16:creationId xmlns:a16="http://schemas.microsoft.com/office/drawing/2014/main" id="{00000000-0008-0000-0300-000008000000}"/>
                </a:ext>
              </a:extLst>
            </xdr:cNvPr>
            <xdr:cNvSpPr txBox="1">
              <a:spLocks noChangeAspect="1" noChangeArrowheads="1"/>
            </xdr:cNvSpPr>
          </xdr:nvSpPr>
          <xdr:spPr bwMode="auto">
            <a:xfrm>
              <a:off x="7100" y="14930"/>
              <a:ext cx="3849"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GB" sz="1000" b="1">
                  <a:solidFill>
                    <a:srgbClr val="00B050"/>
                  </a:solidFill>
                  <a:effectLst/>
                  <a:latin typeface="Arial" panose="020B0604020202020204" pitchFamily="34" charset="0"/>
                  <a:ea typeface="Calibri" panose="020F0502020204030204" pitchFamily="34" charset="0"/>
                  <a:cs typeface="Arial" panose="020B0604020202020204" pitchFamily="34" charset="0"/>
                </a:rPr>
                <a:t>Implemented by</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61058</xdr:colOff>
      <xdr:row>0</xdr:row>
      <xdr:rowOff>36635</xdr:rowOff>
    </xdr:from>
    <xdr:to>
      <xdr:col>2</xdr:col>
      <xdr:colOff>642689</xdr:colOff>
      <xdr:row>3</xdr:row>
      <xdr:rowOff>264131</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58" y="36635"/>
          <a:ext cx="1067406" cy="1084746"/>
        </a:xfrm>
        <a:prstGeom prst="rect">
          <a:avLst/>
        </a:prstGeom>
        <a:noFill/>
      </xdr:spPr>
    </xdr:pic>
    <xdr:clientData/>
  </xdr:twoCellAnchor>
  <xdr:twoCellAnchor>
    <xdr:from>
      <xdr:col>15</xdr:col>
      <xdr:colOff>272144</xdr:colOff>
      <xdr:row>0</xdr:row>
      <xdr:rowOff>13608</xdr:rowOff>
    </xdr:from>
    <xdr:to>
      <xdr:col>21</xdr:col>
      <xdr:colOff>680357</xdr:colOff>
      <xdr:row>2</xdr:row>
      <xdr:rowOff>149679</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12668251" y="13608"/>
          <a:ext cx="5143499" cy="707571"/>
          <a:chOff x="9955599" y="100353"/>
          <a:chExt cx="7374459" cy="898009"/>
        </a:xfrm>
      </xdr:grpSpPr>
      <xdr:grpSp>
        <xdr:nvGrpSpPr>
          <xdr:cNvPr id="13" name="Group 12">
            <a:extLst>
              <a:ext uri="{FF2B5EF4-FFF2-40B4-BE49-F238E27FC236}">
                <a16:creationId xmlns:a16="http://schemas.microsoft.com/office/drawing/2014/main" id="{00000000-0008-0000-0400-00000D000000}"/>
              </a:ext>
            </a:extLst>
          </xdr:cNvPr>
          <xdr:cNvGrpSpPr/>
        </xdr:nvGrpSpPr>
        <xdr:grpSpPr>
          <a:xfrm>
            <a:off x="9955599" y="100353"/>
            <a:ext cx="4361458" cy="898009"/>
            <a:chOff x="10003401" y="70555"/>
            <a:chExt cx="4482483" cy="1037750"/>
          </a:xfrm>
        </xdr:grpSpPr>
        <xdr:pic>
          <xdr:nvPicPr>
            <xdr:cNvPr id="18" name="Picture 17">
              <a:extLst>
                <a:ext uri="{FF2B5EF4-FFF2-40B4-BE49-F238E27FC236}">
                  <a16:creationId xmlns:a16="http://schemas.microsoft.com/office/drawing/2014/main" id="{00000000-0008-0000-0400-00001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03401" y="155274"/>
              <a:ext cx="1385889" cy="893705"/>
            </a:xfrm>
            <a:prstGeom prst="rect">
              <a:avLst/>
            </a:prstGeom>
            <a:noFill/>
          </xdr:spPr>
        </xdr:pic>
        <xdr:pic>
          <xdr:nvPicPr>
            <xdr:cNvPr id="19" name="Picture 18">
              <a:extLst>
                <a:ext uri="{FF2B5EF4-FFF2-40B4-BE49-F238E27FC236}">
                  <a16:creationId xmlns:a16="http://schemas.microsoft.com/office/drawing/2014/main" id="{00000000-0008-0000-0400-000013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367635" y="82315"/>
              <a:ext cx="1342580" cy="1025990"/>
            </a:xfrm>
            <a:prstGeom prst="rect">
              <a:avLst/>
            </a:prstGeom>
            <a:noFill/>
          </xdr:spPr>
        </xdr:pic>
        <xdr:pic>
          <xdr:nvPicPr>
            <xdr:cNvPr id="20" name="Picture 19">
              <a:extLst>
                <a:ext uri="{FF2B5EF4-FFF2-40B4-BE49-F238E27FC236}">
                  <a16:creationId xmlns:a16="http://schemas.microsoft.com/office/drawing/2014/main" id="{00000000-0008-0000-0400-000014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806406" y="70555"/>
              <a:ext cx="1679478" cy="976019"/>
            </a:xfrm>
            <a:prstGeom prst="rect">
              <a:avLst/>
            </a:prstGeom>
            <a:noFill/>
          </xdr:spPr>
        </xdr:pic>
      </xdr:grpSp>
      <xdr:grpSp>
        <xdr:nvGrpSpPr>
          <xdr:cNvPr id="14" name="Group 13">
            <a:extLst>
              <a:ext uri="{FF2B5EF4-FFF2-40B4-BE49-F238E27FC236}">
                <a16:creationId xmlns:a16="http://schemas.microsoft.com/office/drawing/2014/main" id="{00000000-0008-0000-0400-00000E000000}"/>
              </a:ext>
            </a:extLst>
          </xdr:cNvPr>
          <xdr:cNvGrpSpPr>
            <a:grpSpLocks noChangeAspect="1"/>
          </xdr:cNvGrpSpPr>
        </xdr:nvGrpSpPr>
        <xdr:grpSpPr bwMode="auto">
          <a:xfrm>
            <a:off x="14384114" y="111579"/>
            <a:ext cx="2945944" cy="832949"/>
            <a:chOff x="7055" y="14930"/>
            <a:chExt cx="3894" cy="1575"/>
          </a:xfrm>
        </xdr:grpSpPr>
        <xdr:pic>
          <xdr:nvPicPr>
            <xdr:cNvPr id="15" name="Picture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6427" b="17262"/>
            <a:stretch>
              <a:fillRect/>
            </a:stretch>
          </xdr:blipFill>
          <xdr:spPr bwMode="auto">
            <a:xfrm>
              <a:off x="7055" y="15300"/>
              <a:ext cx="3894" cy="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Text Box 19">
              <a:extLst>
                <a:ext uri="{FF2B5EF4-FFF2-40B4-BE49-F238E27FC236}">
                  <a16:creationId xmlns:a16="http://schemas.microsoft.com/office/drawing/2014/main" id="{00000000-0008-0000-0400-000010000000}"/>
                </a:ext>
              </a:extLst>
            </xdr:cNvPr>
            <xdr:cNvSpPr txBox="1">
              <a:spLocks noChangeAspect="1" noChangeArrowheads="1"/>
            </xdr:cNvSpPr>
          </xdr:nvSpPr>
          <xdr:spPr bwMode="auto">
            <a:xfrm>
              <a:off x="7070" y="16097"/>
              <a:ext cx="3416"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en-GB" sz="800" i="1">
                  <a:effectLst/>
                  <a:latin typeface="Arial" panose="020B0604020202020204" pitchFamily="34" charset="0"/>
                  <a:ea typeface="Calibri" panose="020F0502020204030204" pitchFamily="34" charset="0"/>
                  <a:cs typeface="Arial" panose="020B0604020202020204" pitchFamily="34" charset="0"/>
                </a:rPr>
                <a:t>in JV with </a:t>
              </a:r>
              <a:r>
                <a:rPr lang="en-GB" sz="800" b="1" i="1">
                  <a:solidFill>
                    <a:srgbClr val="44546A"/>
                  </a:solidFill>
                  <a:effectLst/>
                  <a:latin typeface="Arial" panose="020B0604020202020204" pitchFamily="34" charset="0"/>
                  <a:ea typeface="Calibri" panose="020F0502020204030204" pitchFamily="34" charset="0"/>
                  <a:cs typeface="Arial" panose="020B0604020202020204" pitchFamily="34" charset="0"/>
                </a:rPr>
                <a:t>SBK Research and Development</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7" name="Text Box 19">
              <a:extLst>
                <a:ext uri="{FF2B5EF4-FFF2-40B4-BE49-F238E27FC236}">
                  <a16:creationId xmlns:a16="http://schemas.microsoft.com/office/drawing/2014/main" id="{00000000-0008-0000-0400-000011000000}"/>
                </a:ext>
              </a:extLst>
            </xdr:cNvPr>
            <xdr:cNvSpPr txBox="1">
              <a:spLocks noChangeAspect="1" noChangeArrowheads="1"/>
            </xdr:cNvSpPr>
          </xdr:nvSpPr>
          <xdr:spPr bwMode="auto">
            <a:xfrm>
              <a:off x="7100" y="14930"/>
              <a:ext cx="3849"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GB" sz="1000" b="1">
                  <a:solidFill>
                    <a:srgbClr val="00B050"/>
                  </a:solidFill>
                  <a:effectLst/>
                  <a:latin typeface="Arial" panose="020B0604020202020204" pitchFamily="34" charset="0"/>
                  <a:ea typeface="Calibri" panose="020F0502020204030204" pitchFamily="34" charset="0"/>
                  <a:cs typeface="Arial" panose="020B0604020202020204" pitchFamily="34" charset="0"/>
                </a:rPr>
                <a:t>Implemented by</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61058</xdr:colOff>
      <xdr:row>0</xdr:row>
      <xdr:rowOff>36635</xdr:rowOff>
    </xdr:from>
    <xdr:to>
      <xdr:col>2</xdr:col>
      <xdr:colOff>751546</xdr:colOff>
      <xdr:row>3</xdr:row>
      <xdr:rowOff>264131</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58" y="36635"/>
          <a:ext cx="1070093" cy="1070092"/>
        </a:xfrm>
        <a:prstGeom prst="rect">
          <a:avLst/>
        </a:prstGeom>
        <a:noFill/>
      </xdr:spPr>
    </xdr:pic>
    <xdr:clientData/>
  </xdr:twoCellAnchor>
  <xdr:twoCellAnchor>
    <xdr:from>
      <xdr:col>11</xdr:col>
      <xdr:colOff>190500</xdr:colOff>
      <xdr:row>0</xdr:row>
      <xdr:rowOff>149680</xdr:rowOff>
    </xdr:from>
    <xdr:to>
      <xdr:col>17</xdr:col>
      <xdr:colOff>925286</xdr:colOff>
      <xdr:row>3</xdr:row>
      <xdr:rowOff>81644</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10338741" y="149680"/>
          <a:ext cx="6449786" cy="778631"/>
          <a:chOff x="9913467" y="100353"/>
          <a:chExt cx="7416591" cy="844591"/>
        </a:xfrm>
      </xdr:grpSpPr>
      <xdr:grpSp>
        <xdr:nvGrpSpPr>
          <xdr:cNvPr id="13" name="Group 12">
            <a:extLst>
              <a:ext uri="{FF2B5EF4-FFF2-40B4-BE49-F238E27FC236}">
                <a16:creationId xmlns:a16="http://schemas.microsoft.com/office/drawing/2014/main" id="{00000000-0008-0000-0500-00000D000000}"/>
              </a:ext>
            </a:extLst>
          </xdr:cNvPr>
          <xdr:cNvGrpSpPr/>
        </xdr:nvGrpSpPr>
        <xdr:grpSpPr>
          <a:xfrm>
            <a:off x="9913467" y="100353"/>
            <a:ext cx="4150876" cy="844591"/>
            <a:chOff x="9960092" y="70555"/>
            <a:chExt cx="4266055" cy="976019"/>
          </a:xfrm>
        </xdr:grpSpPr>
        <xdr:pic>
          <xdr:nvPicPr>
            <xdr:cNvPr id="18" name="Picture 17">
              <a:extLst>
                <a:ext uri="{FF2B5EF4-FFF2-40B4-BE49-F238E27FC236}">
                  <a16:creationId xmlns:a16="http://schemas.microsoft.com/office/drawing/2014/main" id="{00000000-0008-0000-0500-00001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0092" y="82315"/>
              <a:ext cx="1385889" cy="893704"/>
            </a:xfrm>
            <a:prstGeom prst="rect">
              <a:avLst/>
            </a:prstGeom>
            <a:noFill/>
          </xdr:spPr>
        </xdr:pic>
        <xdr:pic>
          <xdr:nvPicPr>
            <xdr:cNvPr id="19" name="Picture 18">
              <a:extLst>
                <a:ext uri="{FF2B5EF4-FFF2-40B4-BE49-F238E27FC236}">
                  <a16:creationId xmlns:a16="http://schemas.microsoft.com/office/drawing/2014/main" id="{00000000-0008-0000-0500-000013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00554" y="82315"/>
              <a:ext cx="952500" cy="870185"/>
            </a:xfrm>
            <a:prstGeom prst="rect">
              <a:avLst/>
            </a:prstGeom>
            <a:noFill/>
          </xdr:spPr>
        </xdr:pic>
        <xdr:pic>
          <xdr:nvPicPr>
            <xdr:cNvPr id="20" name="Picture 19">
              <a:extLst>
                <a:ext uri="{FF2B5EF4-FFF2-40B4-BE49-F238E27FC236}">
                  <a16:creationId xmlns:a16="http://schemas.microsoft.com/office/drawing/2014/main" id="{00000000-0008-0000-0500-000014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76481" y="70555"/>
              <a:ext cx="1549666" cy="976019"/>
            </a:xfrm>
            <a:prstGeom prst="rect">
              <a:avLst/>
            </a:prstGeom>
            <a:noFill/>
          </xdr:spPr>
        </xdr:pic>
      </xdr:grpSp>
      <xdr:grpSp>
        <xdr:nvGrpSpPr>
          <xdr:cNvPr id="14" name="Group 13">
            <a:extLst>
              <a:ext uri="{FF2B5EF4-FFF2-40B4-BE49-F238E27FC236}">
                <a16:creationId xmlns:a16="http://schemas.microsoft.com/office/drawing/2014/main" id="{00000000-0008-0000-0500-00000E000000}"/>
              </a:ext>
            </a:extLst>
          </xdr:cNvPr>
          <xdr:cNvGrpSpPr>
            <a:grpSpLocks noChangeAspect="1"/>
          </xdr:cNvGrpSpPr>
        </xdr:nvGrpSpPr>
        <xdr:grpSpPr bwMode="auto">
          <a:xfrm>
            <a:off x="14384114" y="111579"/>
            <a:ext cx="2945944" cy="832949"/>
            <a:chOff x="7055" y="14930"/>
            <a:chExt cx="3894" cy="1575"/>
          </a:xfrm>
        </xdr:grpSpPr>
        <xdr:pic>
          <xdr:nvPicPr>
            <xdr:cNvPr id="15" name="Picture 14">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6427" b="17262"/>
            <a:stretch>
              <a:fillRect/>
            </a:stretch>
          </xdr:blipFill>
          <xdr:spPr bwMode="auto">
            <a:xfrm>
              <a:off x="7055" y="15300"/>
              <a:ext cx="3894" cy="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Text Box 19">
              <a:extLst>
                <a:ext uri="{FF2B5EF4-FFF2-40B4-BE49-F238E27FC236}">
                  <a16:creationId xmlns:a16="http://schemas.microsoft.com/office/drawing/2014/main" id="{00000000-0008-0000-0500-000010000000}"/>
                </a:ext>
              </a:extLst>
            </xdr:cNvPr>
            <xdr:cNvSpPr txBox="1">
              <a:spLocks noChangeAspect="1" noChangeArrowheads="1"/>
            </xdr:cNvSpPr>
          </xdr:nvSpPr>
          <xdr:spPr bwMode="auto">
            <a:xfrm>
              <a:off x="7070" y="16097"/>
              <a:ext cx="3416"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en-GB" sz="800" i="1">
                  <a:effectLst/>
                  <a:latin typeface="Arial" panose="020B0604020202020204" pitchFamily="34" charset="0"/>
                  <a:ea typeface="Calibri" panose="020F0502020204030204" pitchFamily="34" charset="0"/>
                  <a:cs typeface="Arial" panose="020B0604020202020204" pitchFamily="34" charset="0"/>
                </a:rPr>
                <a:t>in JV with </a:t>
              </a:r>
              <a:r>
                <a:rPr lang="en-GB" sz="800" b="1" i="1">
                  <a:solidFill>
                    <a:srgbClr val="44546A"/>
                  </a:solidFill>
                  <a:effectLst/>
                  <a:latin typeface="Arial" panose="020B0604020202020204" pitchFamily="34" charset="0"/>
                  <a:ea typeface="Calibri" panose="020F0502020204030204" pitchFamily="34" charset="0"/>
                  <a:cs typeface="Arial" panose="020B0604020202020204" pitchFamily="34" charset="0"/>
                </a:rPr>
                <a:t>SBK Research and Development</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7" name="Text Box 19">
              <a:extLst>
                <a:ext uri="{FF2B5EF4-FFF2-40B4-BE49-F238E27FC236}">
                  <a16:creationId xmlns:a16="http://schemas.microsoft.com/office/drawing/2014/main" id="{00000000-0008-0000-0500-000011000000}"/>
                </a:ext>
              </a:extLst>
            </xdr:cNvPr>
            <xdr:cNvSpPr txBox="1">
              <a:spLocks noChangeAspect="1" noChangeArrowheads="1"/>
            </xdr:cNvSpPr>
          </xdr:nvSpPr>
          <xdr:spPr bwMode="auto">
            <a:xfrm>
              <a:off x="7100" y="14930"/>
              <a:ext cx="3849"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GB" sz="1000" b="1">
                  <a:solidFill>
                    <a:srgbClr val="00B050"/>
                  </a:solidFill>
                  <a:effectLst/>
                  <a:latin typeface="Arial" panose="020B0604020202020204" pitchFamily="34" charset="0"/>
                  <a:ea typeface="Calibri" panose="020F0502020204030204" pitchFamily="34" charset="0"/>
                  <a:cs typeface="Arial" panose="020B0604020202020204" pitchFamily="34" charset="0"/>
                </a:rPr>
                <a:t>Implemented by</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54767</xdr:colOff>
      <xdr:row>0</xdr:row>
      <xdr:rowOff>47624</xdr:rowOff>
    </xdr:from>
    <xdr:to>
      <xdr:col>2</xdr:col>
      <xdr:colOff>636704</xdr:colOff>
      <xdr:row>3</xdr:row>
      <xdr:rowOff>260466</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7" y="47624"/>
          <a:ext cx="1070093" cy="1070092"/>
        </a:xfrm>
        <a:prstGeom prst="rect">
          <a:avLst/>
        </a:prstGeom>
        <a:noFill/>
      </xdr:spPr>
    </xdr:pic>
    <xdr:clientData/>
  </xdr:twoCellAnchor>
  <xdr:twoCellAnchor>
    <xdr:from>
      <xdr:col>11</xdr:col>
      <xdr:colOff>802823</xdr:colOff>
      <xdr:row>0</xdr:row>
      <xdr:rowOff>122465</xdr:rowOff>
    </xdr:from>
    <xdr:to>
      <xdr:col>20</xdr:col>
      <xdr:colOff>870856</xdr:colOff>
      <xdr:row>3</xdr:row>
      <xdr:rowOff>136072</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0885716" y="122465"/>
          <a:ext cx="6150426" cy="870857"/>
          <a:chOff x="9913467" y="100353"/>
          <a:chExt cx="7416591" cy="844591"/>
        </a:xfrm>
      </xdr:grpSpPr>
      <xdr:grpSp>
        <xdr:nvGrpSpPr>
          <xdr:cNvPr id="13" name="Group 12">
            <a:extLst>
              <a:ext uri="{FF2B5EF4-FFF2-40B4-BE49-F238E27FC236}">
                <a16:creationId xmlns:a16="http://schemas.microsoft.com/office/drawing/2014/main" id="{00000000-0008-0000-0600-00000D000000}"/>
              </a:ext>
            </a:extLst>
          </xdr:cNvPr>
          <xdr:cNvGrpSpPr/>
        </xdr:nvGrpSpPr>
        <xdr:grpSpPr>
          <a:xfrm>
            <a:off x="9913467" y="100353"/>
            <a:ext cx="4150876" cy="844591"/>
            <a:chOff x="9960092" y="70555"/>
            <a:chExt cx="4266055" cy="976019"/>
          </a:xfrm>
        </xdr:grpSpPr>
        <xdr:pic>
          <xdr:nvPicPr>
            <xdr:cNvPr id="18" name="Picture 17">
              <a:extLst>
                <a:ext uri="{FF2B5EF4-FFF2-40B4-BE49-F238E27FC236}">
                  <a16:creationId xmlns:a16="http://schemas.microsoft.com/office/drawing/2014/main" id="{00000000-0008-0000-0600-00001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0092" y="82315"/>
              <a:ext cx="1385889" cy="893704"/>
            </a:xfrm>
            <a:prstGeom prst="rect">
              <a:avLst/>
            </a:prstGeom>
            <a:noFill/>
          </xdr:spPr>
        </xdr:pic>
        <xdr:pic>
          <xdr:nvPicPr>
            <xdr:cNvPr id="19" name="Picture 18">
              <a:extLst>
                <a:ext uri="{FF2B5EF4-FFF2-40B4-BE49-F238E27FC236}">
                  <a16:creationId xmlns:a16="http://schemas.microsoft.com/office/drawing/2014/main" id="{00000000-0008-0000-0600-000013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00554" y="82315"/>
              <a:ext cx="952500" cy="870185"/>
            </a:xfrm>
            <a:prstGeom prst="rect">
              <a:avLst/>
            </a:prstGeom>
            <a:noFill/>
          </xdr:spPr>
        </xdr:pic>
        <xdr:pic>
          <xdr:nvPicPr>
            <xdr:cNvPr id="20" name="Picture 19">
              <a:extLst>
                <a:ext uri="{FF2B5EF4-FFF2-40B4-BE49-F238E27FC236}">
                  <a16:creationId xmlns:a16="http://schemas.microsoft.com/office/drawing/2014/main" id="{00000000-0008-0000-0600-000014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76481" y="70555"/>
              <a:ext cx="1549666" cy="976019"/>
            </a:xfrm>
            <a:prstGeom prst="rect">
              <a:avLst/>
            </a:prstGeom>
            <a:noFill/>
          </xdr:spPr>
        </xdr:pic>
      </xdr:grpSp>
      <xdr:grpSp>
        <xdr:nvGrpSpPr>
          <xdr:cNvPr id="14" name="Group 13">
            <a:extLst>
              <a:ext uri="{FF2B5EF4-FFF2-40B4-BE49-F238E27FC236}">
                <a16:creationId xmlns:a16="http://schemas.microsoft.com/office/drawing/2014/main" id="{00000000-0008-0000-0600-00000E000000}"/>
              </a:ext>
            </a:extLst>
          </xdr:cNvPr>
          <xdr:cNvGrpSpPr>
            <a:grpSpLocks noChangeAspect="1"/>
          </xdr:cNvGrpSpPr>
        </xdr:nvGrpSpPr>
        <xdr:grpSpPr bwMode="auto">
          <a:xfrm>
            <a:off x="14384114" y="111579"/>
            <a:ext cx="2945944" cy="832949"/>
            <a:chOff x="7055" y="14930"/>
            <a:chExt cx="3894" cy="1575"/>
          </a:xfrm>
        </xdr:grpSpPr>
        <xdr:pic>
          <xdr:nvPicPr>
            <xdr:cNvPr id="15" name="Picture 14">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6427" b="17262"/>
            <a:stretch>
              <a:fillRect/>
            </a:stretch>
          </xdr:blipFill>
          <xdr:spPr bwMode="auto">
            <a:xfrm>
              <a:off x="7055" y="15300"/>
              <a:ext cx="3894" cy="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Text Box 19">
              <a:extLst>
                <a:ext uri="{FF2B5EF4-FFF2-40B4-BE49-F238E27FC236}">
                  <a16:creationId xmlns:a16="http://schemas.microsoft.com/office/drawing/2014/main" id="{00000000-0008-0000-0600-000010000000}"/>
                </a:ext>
              </a:extLst>
            </xdr:cNvPr>
            <xdr:cNvSpPr txBox="1">
              <a:spLocks noChangeAspect="1" noChangeArrowheads="1"/>
            </xdr:cNvSpPr>
          </xdr:nvSpPr>
          <xdr:spPr bwMode="auto">
            <a:xfrm>
              <a:off x="7070" y="16097"/>
              <a:ext cx="3416"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en-GB" sz="800" i="1">
                  <a:effectLst/>
                  <a:latin typeface="Arial" panose="020B0604020202020204" pitchFamily="34" charset="0"/>
                  <a:ea typeface="Calibri" panose="020F0502020204030204" pitchFamily="34" charset="0"/>
                  <a:cs typeface="Arial" panose="020B0604020202020204" pitchFamily="34" charset="0"/>
                </a:rPr>
                <a:t>in JV with </a:t>
              </a:r>
              <a:r>
                <a:rPr lang="en-GB" sz="800" b="1" i="1">
                  <a:solidFill>
                    <a:srgbClr val="44546A"/>
                  </a:solidFill>
                  <a:effectLst/>
                  <a:latin typeface="Arial" panose="020B0604020202020204" pitchFamily="34" charset="0"/>
                  <a:ea typeface="Calibri" panose="020F0502020204030204" pitchFamily="34" charset="0"/>
                  <a:cs typeface="Arial" panose="020B0604020202020204" pitchFamily="34" charset="0"/>
                </a:rPr>
                <a:t>SBK Research and Development</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7" name="Text Box 19">
              <a:extLst>
                <a:ext uri="{FF2B5EF4-FFF2-40B4-BE49-F238E27FC236}">
                  <a16:creationId xmlns:a16="http://schemas.microsoft.com/office/drawing/2014/main" id="{00000000-0008-0000-0600-000011000000}"/>
                </a:ext>
              </a:extLst>
            </xdr:cNvPr>
            <xdr:cNvSpPr txBox="1">
              <a:spLocks noChangeAspect="1" noChangeArrowheads="1"/>
            </xdr:cNvSpPr>
          </xdr:nvSpPr>
          <xdr:spPr bwMode="auto">
            <a:xfrm>
              <a:off x="7100" y="14930"/>
              <a:ext cx="3849"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GB" sz="1000" b="1">
                  <a:solidFill>
                    <a:srgbClr val="00B050"/>
                  </a:solidFill>
                  <a:effectLst/>
                  <a:latin typeface="Arial" panose="020B0604020202020204" pitchFamily="34" charset="0"/>
                  <a:ea typeface="Calibri" panose="020F0502020204030204" pitchFamily="34" charset="0"/>
                  <a:cs typeface="Arial" panose="020B0604020202020204" pitchFamily="34" charset="0"/>
                </a:rPr>
                <a:t>Implemented by</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59530</xdr:colOff>
      <xdr:row>0</xdr:row>
      <xdr:rowOff>47624</xdr:rowOff>
    </xdr:from>
    <xdr:to>
      <xdr:col>2</xdr:col>
      <xdr:colOff>641467</xdr:colOff>
      <xdr:row>3</xdr:row>
      <xdr:rowOff>260466</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0" y="47624"/>
          <a:ext cx="1070093" cy="1070092"/>
        </a:xfrm>
        <a:prstGeom prst="rect">
          <a:avLst/>
        </a:prstGeom>
        <a:noFill/>
      </xdr:spPr>
    </xdr:pic>
    <xdr:clientData/>
  </xdr:twoCellAnchor>
  <xdr:twoCellAnchor>
    <xdr:from>
      <xdr:col>8</xdr:col>
      <xdr:colOff>309253</xdr:colOff>
      <xdr:row>0</xdr:row>
      <xdr:rowOff>96488</xdr:rowOff>
    </xdr:from>
    <xdr:to>
      <xdr:col>17</xdr:col>
      <xdr:colOff>321623</xdr:colOff>
      <xdr:row>2</xdr:row>
      <xdr:rowOff>235032</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9450779" y="96488"/>
          <a:ext cx="5145974" cy="707570"/>
          <a:chOff x="9913467" y="100353"/>
          <a:chExt cx="7416591" cy="844591"/>
        </a:xfrm>
      </xdr:grpSpPr>
      <xdr:grpSp>
        <xdr:nvGrpSpPr>
          <xdr:cNvPr id="5" name="Group 4">
            <a:extLst>
              <a:ext uri="{FF2B5EF4-FFF2-40B4-BE49-F238E27FC236}">
                <a16:creationId xmlns:a16="http://schemas.microsoft.com/office/drawing/2014/main" id="{00000000-0008-0000-0700-000005000000}"/>
              </a:ext>
            </a:extLst>
          </xdr:cNvPr>
          <xdr:cNvGrpSpPr/>
        </xdr:nvGrpSpPr>
        <xdr:grpSpPr>
          <a:xfrm>
            <a:off x="9913467" y="100353"/>
            <a:ext cx="4150876" cy="844591"/>
            <a:chOff x="9960092" y="70555"/>
            <a:chExt cx="4266055" cy="976019"/>
          </a:xfrm>
        </xdr:grpSpPr>
        <xdr:pic>
          <xdr:nvPicPr>
            <xdr:cNvPr id="6" name="Picture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0092" y="82315"/>
              <a:ext cx="1385889" cy="893704"/>
            </a:xfrm>
            <a:prstGeom prst="rect">
              <a:avLst/>
            </a:prstGeom>
            <a:noFill/>
          </xdr:spPr>
        </xdr:pic>
        <xdr:pic>
          <xdr:nvPicPr>
            <xdr:cNvPr id="7" name="Picture 6">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00554" y="82315"/>
              <a:ext cx="952500" cy="870185"/>
            </a:xfrm>
            <a:prstGeom prst="rect">
              <a:avLst/>
            </a:prstGeom>
            <a:noFill/>
          </xdr:spPr>
        </xdr:pic>
        <xdr:pic>
          <xdr:nvPicPr>
            <xdr:cNvPr id="8" name="Picture 7">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76481" y="70555"/>
              <a:ext cx="1549666" cy="976019"/>
            </a:xfrm>
            <a:prstGeom prst="rect">
              <a:avLst/>
            </a:prstGeom>
            <a:noFill/>
          </xdr:spPr>
        </xdr:pic>
      </xdr:grpSp>
      <xdr:grpSp>
        <xdr:nvGrpSpPr>
          <xdr:cNvPr id="9" name="Group 8">
            <a:extLst>
              <a:ext uri="{FF2B5EF4-FFF2-40B4-BE49-F238E27FC236}">
                <a16:creationId xmlns:a16="http://schemas.microsoft.com/office/drawing/2014/main" id="{00000000-0008-0000-0700-000009000000}"/>
              </a:ext>
            </a:extLst>
          </xdr:cNvPr>
          <xdr:cNvGrpSpPr>
            <a:grpSpLocks noChangeAspect="1"/>
          </xdr:cNvGrpSpPr>
        </xdr:nvGrpSpPr>
        <xdr:grpSpPr bwMode="auto">
          <a:xfrm>
            <a:off x="14384114" y="111579"/>
            <a:ext cx="2945944" cy="832949"/>
            <a:chOff x="7055" y="14930"/>
            <a:chExt cx="3894" cy="1575"/>
          </a:xfrm>
        </xdr:grpSpPr>
        <xdr:pic>
          <xdr:nvPicPr>
            <xdr:cNvPr id="10" name="Picture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6427" b="17262"/>
            <a:stretch>
              <a:fillRect/>
            </a:stretch>
          </xdr:blipFill>
          <xdr:spPr bwMode="auto">
            <a:xfrm>
              <a:off x="7055" y="15300"/>
              <a:ext cx="3894" cy="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Text Box 19">
              <a:extLst>
                <a:ext uri="{FF2B5EF4-FFF2-40B4-BE49-F238E27FC236}">
                  <a16:creationId xmlns:a16="http://schemas.microsoft.com/office/drawing/2014/main" id="{00000000-0008-0000-0700-00000B000000}"/>
                </a:ext>
              </a:extLst>
            </xdr:cNvPr>
            <xdr:cNvSpPr txBox="1">
              <a:spLocks noChangeAspect="1" noChangeArrowheads="1"/>
            </xdr:cNvSpPr>
          </xdr:nvSpPr>
          <xdr:spPr bwMode="auto">
            <a:xfrm>
              <a:off x="7070" y="16097"/>
              <a:ext cx="3416"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en-GB" sz="800" i="1">
                  <a:effectLst/>
                  <a:latin typeface="Arial" panose="020B0604020202020204" pitchFamily="34" charset="0"/>
                  <a:ea typeface="Calibri" panose="020F0502020204030204" pitchFamily="34" charset="0"/>
                  <a:cs typeface="Arial" panose="020B0604020202020204" pitchFamily="34" charset="0"/>
                </a:rPr>
                <a:t>in JV with </a:t>
              </a:r>
              <a:r>
                <a:rPr lang="en-GB" sz="800" b="1" i="1">
                  <a:solidFill>
                    <a:srgbClr val="44546A"/>
                  </a:solidFill>
                  <a:effectLst/>
                  <a:latin typeface="Arial" panose="020B0604020202020204" pitchFamily="34" charset="0"/>
                  <a:ea typeface="Calibri" panose="020F0502020204030204" pitchFamily="34" charset="0"/>
                  <a:cs typeface="Arial" panose="020B0604020202020204" pitchFamily="34" charset="0"/>
                </a:rPr>
                <a:t>SBK Research and Development</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2" name="Text Box 19">
              <a:extLst>
                <a:ext uri="{FF2B5EF4-FFF2-40B4-BE49-F238E27FC236}">
                  <a16:creationId xmlns:a16="http://schemas.microsoft.com/office/drawing/2014/main" id="{00000000-0008-0000-0700-00000C000000}"/>
                </a:ext>
              </a:extLst>
            </xdr:cNvPr>
            <xdr:cNvSpPr txBox="1">
              <a:spLocks noChangeAspect="1" noChangeArrowheads="1"/>
            </xdr:cNvSpPr>
          </xdr:nvSpPr>
          <xdr:spPr bwMode="auto">
            <a:xfrm>
              <a:off x="7100" y="14930"/>
              <a:ext cx="3849"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GB" sz="1000" b="1">
                  <a:solidFill>
                    <a:srgbClr val="00B050"/>
                  </a:solidFill>
                  <a:effectLst/>
                  <a:latin typeface="Arial" panose="020B0604020202020204" pitchFamily="34" charset="0"/>
                  <a:ea typeface="Calibri" panose="020F0502020204030204" pitchFamily="34" charset="0"/>
                  <a:cs typeface="Arial" panose="020B0604020202020204" pitchFamily="34" charset="0"/>
                </a:rPr>
                <a:t>Implemented by</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37022</xdr:colOff>
      <xdr:row>0</xdr:row>
      <xdr:rowOff>35277</xdr:rowOff>
    </xdr:from>
    <xdr:to>
      <xdr:col>2</xdr:col>
      <xdr:colOff>624986</xdr:colOff>
      <xdr:row>3</xdr:row>
      <xdr:rowOff>258702</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79" y="35277"/>
          <a:ext cx="1088707" cy="1105168"/>
        </a:xfrm>
        <a:prstGeom prst="rect">
          <a:avLst/>
        </a:prstGeom>
        <a:noFill/>
      </xdr:spPr>
    </xdr:pic>
    <xdr:clientData/>
  </xdr:twoCellAnchor>
  <xdr:twoCellAnchor>
    <xdr:from>
      <xdr:col>12</xdr:col>
      <xdr:colOff>340180</xdr:colOff>
      <xdr:row>0</xdr:row>
      <xdr:rowOff>69784</xdr:rowOff>
    </xdr:from>
    <xdr:to>
      <xdr:col>23</xdr:col>
      <xdr:colOff>598716</xdr:colOff>
      <xdr:row>2</xdr:row>
      <xdr:rowOff>244930</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58894" y="69784"/>
          <a:ext cx="5973536" cy="746646"/>
          <a:chOff x="9137548" y="23519"/>
          <a:chExt cx="6482446" cy="1114673"/>
        </a:xfrm>
      </xdr:grpSpPr>
      <xdr:grpSp>
        <xdr:nvGrpSpPr>
          <xdr:cNvPr id="3" name="Group 2">
            <a:extLst>
              <a:ext uri="{FF2B5EF4-FFF2-40B4-BE49-F238E27FC236}">
                <a16:creationId xmlns:a16="http://schemas.microsoft.com/office/drawing/2014/main" id="{00000000-0008-0000-0800-000003000000}"/>
              </a:ext>
            </a:extLst>
          </xdr:cNvPr>
          <xdr:cNvGrpSpPr/>
        </xdr:nvGrpSpPr>
        <xdr:grpSpPr>
          <a:xfrm>
            <a:off x="9137548" y="23519"/>
            <a:ext cx="3968852" cy="1114673"/>
            <a:chOff x="9960092" y="70555"/>
            <a:chExt cx="4266055" cy="976019"/>
          </a:xfrm>
        </xdr:grpSpPr>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0092" y="82315"/>
              <a:ext cx="1385889" cy="893704"/>
            </a:xfrm>
            <a:prstGeom prst="rect">
              <a:avLst/>
            </a:prstGeom>
            <a:noFill/>
          </xdr:spPr>
        </xdr:pic>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00554" y="82315"/>
              <a:ext cx="952500" cy="870185"/>
            </a:xfrm>
            <a:prstGeom prst="rect">
              <a:avLst/>
            </a:prstGeom>
            <a:noFill/>
          </xdr:spPr>
        </xdr:pic>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76481" y="70555"/>
              <a:ext cx="1549666" cy="976019"/>
            </a:xfrm>
            <a:prstGeom prst="rect">
              <a:avLst/>
            </a:prstGeom>
            <a:noFill/>
          </xdr:spPr>
        </xdr:pic>
      </xdr:grpSp>
      <xdr:grpSp>
        <xdr:nvGrpSpPr>
          <xdr:cNvPr id="7" name="Group 6">
            <a:extLst>
              <a:ext uri="{FF2B5EF4-FFF2-40B4-BE49-F238E27FC236}">
                <a16:creationId xmlns:a16="http://schemas.microsoft.com/office/drawing/2014/main" id="{00000000-0008-0000-0800-000007000000}"/>
              </a:ext>
            </a:extLst>
          </xdr:cNvPr>
          <xdr:cNvGrpSpPr>
            <a:grpSpLocks noChangeAspect="1"/>
          </xdr:cNvGrpSpPr>
        </xdr:nvGrpSpPr>
        <xdr:grpSpPr bwMode="auto">
          <a:xfrm>
            <a:off x="13364633" y="58794"/>
            <a:ext cx="2255361" cy="1018891"/>
            <a:chOff x="7055" y="14930"/>
            <a:chExt cx="3894" cy="1575"/>
          </a:xfrm>
        </xdr:grpSpPr>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6427" b="17262"/>
            <a:stretch>
              <a:fillRect/>
            </a:stretch>
          </xdr:blipFill>
          <xdr:spPr bwMode="auto">
            <a:xfrm>
              <a:off x="7055" y="15300"/>
              <a:ext cx="3894" cy="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Text Box 19">
              <a:extLst>
                <a:ext uri="{FF2B5EF4-FFF2-40B4-BE49-F238E27FC236}">
                  <a16:creationId xmlns:a16="http://schemas.microsoft.com/office/drawing/2014/main" id="{00000000-0008-0000-0800-000009000000}"/>
                </a:ext>
              </a:extLst>
            </xdr:cNvPr>
            <xdr:cNvSpPr txBox="1">
              <a:spLocks noChangeAspect="1" noChangeArrowheads="1"/>
            </xdr:cNvSpPr>
          </xdr:nvSpPr>
          <xdr:spPr bwMode="auto">
            <a:xfrm>
              <a:off x="7070" y="16097"/>
              <a:ext cx="3416"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en-GB" sz="800" i="1">
                  <a:effectLst/>
                  <a:latin typeface="Arial" panose="020B0604020202020204" pitchFamily="34" charset="0"/>
                  <a:ea typeface="Calibri" panose="020F0502020204030204" pitchFamily="34" charset="0"/>
                  <a:cs typeface="Arial" panose="020B0604020202020204" pitchFamily="34" charset="0"/>
                </a:rPr>
                <a:t>in JV with </a:t>
              </a:r>
              <a:r>
                <a:rPr lang="en-GB" sz="800" b="1" i="1">
                  <a:solidFill>
                    <a:srgbClr val="44546A"/>
                  </a:solidFill>
                  <a:effectLst/>
                  <a:latin typeface="Arial" panose="020B0604020202020204" pitchFamily="34" charset="0"/>
                  <a:ea typeface="Calibri" panose="020F0502020204030204" pitchFamily="34" charset="0"/>
                  <a:cs typeface="Arial" panose="020B0604020202020204" pitchFamily="34" charset="0"/>
                </a:rPr>
                <a:t>SBK Research and Development</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0" name="Text Box 19">
              <a:extLst>
                <a:ext uri="{FF2B5EF4-FFF2-40B4-BE49-F238E27FC236}">
                  <a16:creationId xmlns:a16="http://schemas.microsoft.com/office/drawing/2014/main" id="{00000000-0008-0000-0800-00000A000000}"/>
                </a:ext>
              </a:extLst>
            </xdr:cNvPr>
            <xdr:cNvSpPr txBox="1">
              <a:spLocks noChangeAspect="1" noChangeArrowheads="1"/>
            </xdr:cNvSpPr>
          </xdr:nvSpPr>
          <xdr:spPr bwMode="auto">
            <a:xfrm>
              <a:off x="7100" y="14930"/>
              <a:ext cx="3849"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GB" sz="1000" b="1">
                  <a:solidFill>
                    <a:srgbClr val="00B050"/>
                  </a:solidFill>
                  <a:effectLst/>
                  <a:latin typeface="Arial" panose="020B0604020202020204" pitchFamily="34" charset="0"/>
                  <a:ea typeface="Calibri" panose="020F0502020204030204" pitchFamily="34" charset="0"/>
                  <a:cs typeface="Arial" panose="020B0604020202020204" pitchFamily="34" charset="0"/>
                </a:rPr>
                <a:t>Implemented by</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47037</xdr:colOff>
      <xdr:row>0</xdr:row>
      <xdr:rowOff>35278</xdr:rowOff>
    </xdr:from>
    <xdr:to>
      <xdr:col>2</xdr:col>
      <xdr:colOff>517409</xdr:colOff>
      <xdr:row>3</xdr:row>
      <xdr:rowOff>152871</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518" y="35278"/>
          <a:ext cx="964260" cy="964260"/>
        </a:xfrm>
        <a:prstGeom prst="rect">
          <a:avLst/>
        </a:prstGeom>
        <a:noFill/>
      </xdr:spPr>
    </xdr:pic>
    <xdr:clientData/>
  </xdr:twoCellAnchor>
  <xdr:twoCellAnchor>
    <xdr:from>
      <xdr:col>11</xdr:col>
      <xdr:colOff>408214</xdr:colOff>
      <xdr:row>0</xdr:row>
      <xdr:rowOff>54429</xdr:rowOff>
    </xdr:from>
    <xdr:to>
      <xdr:col>22</xdr:col>
      <xdr:colOff>340178</xdr:colOff>
      <xdr:row>2</xdr:row>
      <xdr:rowOff>258536</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9130393" y="54429"/>
          <a:ext cx="5810249" cy="775607"/>
          <a:chOff x="9609197" y="68035"/>
          <a:chExt cx="5586552" cy="984655"/>
        </a:xfrm>
      </xdr:grpSpPr>
      <xdr:grpSp>
        <xdr:nvGrpSpPr>
          <xdr:cNvPr id="6" name="Group 5">
            <a:extLst>
              <a:ext uri="{FF2B5EF4-FFF2-40B4-BE49-F238E27FC236}">
                <a16:creationId xmlns:a16="http://schemas.microsoft.com/office/drawing/2014/main" id="{00000000-0008-0000-0900-000006000000}"/>
              </a:ext>
            </a:extLst>
          </xdr:cNvPr>
          <xdr:cNvGrpSpPr/>
        </xdr:nvGrpSpPr>
        <xdr:grpSpPr>
          <a:xfrm>
            <a:off x="9609197" y="82315"/>
            <a:ext cx="3481477" cy="970375"/>
            <a:chOff x="9960092" y="70555"/>
            <a:chExt cx="4266055" cy="976019"/>
          </a:xfrm>
        </xdr:grpSpPr>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0092" y="82315"/>
              <a:ext cx="1385889" cy="893704"/>
            </a:xfrm>
            <a:prstGeom prst="rect">
              <a:avLst/>
            </a:prstGeom>
            <a:noFill/>
          </xdr:spPr>
        </xdr:pic>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00554" y="82315"/>
              <a:ext cx="952500" cy="870185"/>
            </a:xfrm>
            <a:prstGeom prst="rect">
              <a:avLst/>
            </a:prstGeom>
            <a:noFill/>
          </xdr:spPr>
        </xdr:pic>
        <xdr:pic>
          <xdr:nvPicPr>
            <xdr:cNvPr id="5" name="Picture 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76481" y="70555"/>
              <a:ext cx="1549666" cy="976019"/>
            </a:xfrm>
            <a:prstGeom prst="rect">
              <a:avLst/>
            </a:prstGeom>
            <a:noFill/>
          </xdr:spPr>
        </xdr:pic>
      </xdr:grpSp>
      <xdr:grpSp>
        <xdr:nvGrpSpPr>
          <xdr:cNvPr id="7" name="Group 6">
            <a:extLst>
              <a:ext uri="{FF2B5EF4-FFF2-40B4-BE49-F238E27FC236}">
                <a16:creationId xmlns:a16="http://schemas.microsoft.com/office/drawing/2014/main" id="{00000000-0008-0000-0900-000007000000}"/>
              </a:ext>
            </a:extLst>
          </xdr:cNvPr>
          <xdr:cNvGrpSpPr>
            <a:grpSpLocks noChangeAspect="1"/>
          </xdr:cNvGrpSpPr>
        </xdr:nvGrpSpPr>
        <xdr:grpSpPr bwMode="auto">
          <a:xfrm>
            <a:off x="13392753" y="68035"/>
            <a:ext cx="1802996" cy="911578"/>
            <a:chOff x="7055" y="14930"/>
            <a:chExt cx="3894" cy="1575"/>
          </a:xfrm>
        </xdr:grpSpPr>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6427" b="17262"/>
            <a:stretch>
              <a:fillRect/>
            </a:stretch>
          </xdr:blipFill>
          <xdr:spPr bwMode="auto">
            <a:xfrm>
              <a:off x="7055" y="15300"/>
              <a:ext cx="3894" cy="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Text Box 19">
              <a:extLst>
                <a:ext uri="{FF2B5EF4-FFF2-40B4-BE49-F238E27FC236}">
                  <a16:creationId xmlns:a16="http://schemas.microsoft.com/office/drawing/2014/main" id="{00000000-0008-0000-0900-000009000000}"/>
                </a:ext>
              </a:extLst>
            </xdr:cNvPr>
            <xdr:cNvSpPr txBox="1">
              <a:spLocks noChangeAspect="1" noChangeArrowheads="1"/>
            </xdr:cNvSpPr>
          </xdr:nvSpPr>
          <xdr:spPr bwMode="auto">
            <a:xfrm>
              <a:off x="7070" y="16097"/>
              <a:ext cx="3416"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en-GB" sz="800" i="1">
                  <a:effectLst/>
                  <a:latin typeface="Arial" panose="020B0604020202020204" pitchFamily="34" charset="0"/>
                  <a:ea typeface="Calibri" panose="020F0502020204030204" pitchFamily="34" charset="0"/>
                  <a:cs typeface="Arial" panose="020B0604020202020204" pitchFamily="34" charset="0"/>
                </a:rPr>
                <a:t>in JV with </a:t>
              </a:r>
              <a:r>
                <a:rPr lang="en-GB" sz="800" b="1" i="1">
                  <a:solidFill>
                    <a:srgbClr val="44546A"/>
                  </a:solidFill>
                  <a:effectLst/>
                  <a:latin typeface="Arial" panose="020B0604020202020204" pitchFamily="34" charset="0"/>
                  <a:ea typeface="Calibri" panose="020F0502020204030204" pitchFamily="34" charset="0"/>
                  <a:cs typeface="Arial" panose="020B0604020202020204" pitchFamily="34" charset="0"/>
                </a:rPr>
                <a:t>SBK Research and Development</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0" name="Text Box 19">
              <a:extLst>
                <a:ext uri="{FF2B5EF4-FFF2-40B4-BE49-F238E27FC236}">
                  <a16:creationId xmlns:a16="http://schemas.microsoft.com/office/drawing/2014/main" id="{00000000-0008-0000-0900-00000A000000}"/>
                </a:ext>
              </a:extLst>
            </xdr:cNvPr>
            <xdr:cNvSpPr txBox="1">
              <a:spLocks noChangeAspect="1" noChangeArrowheads="1"/>
            </xdr:cNvSpPr>
          </xdr:nvSpPr>
          <xdr:spPr bwMode="auto">
            <a:xfrm>
              <a:off x="7100" y="14930"/>
              <a:ext cx="3849"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GB" sz="1000" b="1">
                  <a:solidFill>
                    <a:srgbClr val="00B050"/>
                  </a:solidFill>
                  <a:effectLst/>
                  <a:latin typeface="Arial" panose="020B0604020202020204" pitchFamily="34" charset="0"/>
                  <a:ea typeface="Calibri" panose="020F0502020204030204" pitchFamily="34" charset="0"/>
                  <a:cs typeface="Arial" panose="020B0604020202020204" pitchFamily="34" charset="0"/>
                </a:rPr>
                <a:t>Implemented by</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47624</xdr:colOff>
      <xdr:row>0</xdr:row>
      <xdr:rowOff>47624</xdr:rowOff>
    </xdr:from>
    <xdr:to>
      <xdr:col>2</xdr:col>
      <xdr:colOff>629561</xdr:colOff>
      <xdr:row>3</xdr:row>
      <xdr:rowOff>260466</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47624"/>
          <a:ext cx="1070093" cy="1070092"/>
        </a:xfrm>
        <a:prstGeom prst="rect">
          <a:avLst/>
        </a:prstGeom>
        <a:noFill/>
      </xdr:spPr>
    </xdr:pic>
    <xdr:clientData/>
  </xdr:twoCellAnchor>
  <xdr:twoCellAnchor>
    <xdr:from>
      <xdr:col>10</xdr:col>
      <xdr:colOff>299356</xdr:colOff>
      <xdr:row>0</xdr:row>
      <xdr:rowOff>116281</xdr:rowOff>
    </xdr:from>
    <xdr:to>
      <xdr:col>23</xdr:col>
      <xdr:colOff>15831</xdr:colOff>
      <xdr:row>3</xdr:row>
      <xdr:rowOff>95251</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18070" y="116281"/>
          <a:ext cx="5812475" cy="836220"/>
          <a:chOff x="9614468" y="59533"/>
          <a:chExt cx="5417069" cy="982033"/>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9614468" y="59533"/>
            <a:ext cx="3423216" cy="982033"/>
            <a:chOff x="9960092" y="70555"/>
            <a:chExt cx="4266055" cy="976019"/>
          </a:xfrm>
        </xdr:grpSpPr>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0092" y="82315"/>
              <a:ext cx="1385889" cy="893704"/>
            </a:xfrm>
            <a:prstGeom prst="rect">
              <a:avLst/>
            </a:prstGeom>
            <a:noFill/>
          </xdr:spPr>
        </xdr:pic>
        <xdr:pic>
          <xdr:nvPicPr>
            <xdr:cNvPr id="5" name="Picture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00554" y="82315"/>
              <a:ext cx="952500" cy="870185"/>
            </a:xfrm>
            <a:prstGeom prst="rect">
              <a:avLst/>
            </a:prstGeom>
            <a:noFill/>
          </xdr:spPr>
        </xdr:pic>
        <xdr:pic>
          <xdr:nvPicPr>
            <xdr:cNvPr id="6" name="Picture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76481" y="70555"/>
              <a:ext cx="1549666" cy="976019"/>
            </a:xfrm>
            <a:prstGeom prst="rect">
              <a:avLst/>
            </a:prstGeom>
            <a:noFill/>
          </xdr:spPr>
        </xdr:pic>
      </xdr:grpSp>
      <xdr:grpSp>
        <xdr:nvGrpSpPr>
          <xdr:cNvPr id="7" name="Group 6">
            <a:extLst>
              <a:ext uri="{FF2B5EF4-FFF2-40B4-BE49-F238E27FC236}">
                <a16:creationId xmlns:a16="http://schemas.microsoft.com/office/drawing/2014/main" id="{00000000-0008-0000-0A00-000007000000}"/>
              </a:ext>
            </a:extLst>
          </xdr:cNvPr>
          <xdr:cNvGrpSpPr>
            <a:grpSpLocks noChangeAspect="1"/>
          </xdr:cNvGrpSpPr>
        </xdr:nvGrpSpPr>
        <xdr:grpSpPr bwMode="auto">
          <a:xfrm>
            <a:off x="13124428" y="59533"/>
            <a:ext cx="1907109" cy="944523"/>
            <a:chOff x="7055" y="14930"/>
            <a:chExt cx="3894" cy="1575"/>
          </a:xfrm>
        </xdr:grpSpPr>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6427" b="17262"/>
            <a:stretch>
              <a:fillRect/>
            </a:stretch>
          </xdr:blipFill>
          <xdr:spPr bwMode="auto">
            <a:xfrm>
              <a:off x="7055" y="15300"/>
              <a:ext cx="3894" cy="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Text Box 19">
              <a:extLst>
                <a:ext uri="{FF2B5EF4-FFF2-40B4-BE49-F238E27FC236}">
                  <a16:creationId xmlns:a16="http://schemas.microsoft.com/office/drawing/2014/main" id="{00000000-0008-0000-0A00-000009000000}"/>
                </a:ext>
              </a:extLst>
            </xdr:cNvPr>
            <xdr:cNvSpPr txBox="1">
              <a:spLocks noChangeAspect="1" noChangeArrowheads="1"/>
            </xdr:cNvSpPr>
          </xdr:nvSpPr>
          <xdr:spPr bwMode="auto">
            <a:xfrm>
              <a:off x="7070" y="16097"/>
              <a:ext cx="3416"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en-GB" sz="800" i="1">
                  <a:effectLst/>
                  <a:latin typeface="Arial" panose="020B0604020202020204" pitchFamily="34" charset="0"/>
                  <a:ea typeface="Calibri" panose="020F0502020204030204" pitchFamily="34" charset="0"/>
                  <a:cs typeface="Arial" panose="020B0604020202020204" pitchFamily="34" charset="0"/>
                </a:rPr>
                <a:t>in JV with </a:t>
              </a:r>
              <a:r>
                <a:rPr lang="en-GB" sz="800" b="1" i="1">
                  <a:solidFill>
                    <a:srgbClr val="44546A"/>
                  </a:solidFill>
                  <a:effectLst/>
                  <a:latin typeface="Arial" panose="020B0604020202020204" pitchFamily="34" charset="0"/>
                  <a:ea typeface="Calibri" panose="020F0502020204030204" pitchFamily="34" charset="0"/>
                  <a:cs typeface="Arial" panose="020B0604020202020204" pitchFamily="34" charset="0"/>
                </a:rPr>
                <a:t>SBK Research and Development</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0" name="Text Box 19">
              <a:extLst>
                <a:ext uri="{FF2B5EF4-FFF2-40B4-BE49-F238E27FC236}">
                  <a16:creationId xmlns:a16="http://schemas.microsoft.com/office/drawing/2014/main" id="{00000000-0008-0000-0A00-00000A000000}"/>
                </a:ext>
              </a:extLst>
            </xdr:cNvPr>
            <xdr:cNvSpPr txBox="1">
              <a:spLocks noChangeAspect="1" noChangeArrowheads="1"/>
            </xdr:cNvSpPr>
          </xdr:nvSpPr>
          <xdr:spPr bwMode="auto">
            <a:xfrm>
              <a:off x="7100" y="14930"/>
              <a:ext cx="3849"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GB" sz="1000" b="1">
                  <a:solidFill>
                    <a:srgbClr val="00B050"/>
                  </a:solidFill>
                  <a:effectLst/>
                  <a:latin typeface="Arial" panose="020B0604020202020204" pitchFamily="34" charset="0"/>
                  <a:ea typeface="Calibri" panose="020F0502020204030204" pitchFamily="34" charset="0"/>
                  <a:cs typeface="Arial" panose="020B0604020202020204" pitchFamily="34" charset="0"/>
                </a:rPr>
                <a:t>Implemented by</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32656</xdr:colOff>
      <xdr:row>0</xdr:row>
      <xdr:rowOff>32657</xdr:rowOff>
    </xdr:from>
    <xdr:to>
      <xdr:col>2</xdr:col>
      <xdr:colOff>8968</xdr:colOff>
      <xdr:row>5</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6" y="32657"/>
          <a:ext cx="973715" cy="1015093"/>
        </a:xfrm>
        <a:prstGeom prst="rect">
          <a:avLst/>
        </a:prstGeom>
        <a:noFill/>
      </xdr:spPr>
    </xdr:pic>
    <xdr:clientData/>
  </xdr:twoCellAnchor>
  <xdr:twoCellAnchor>
    <xdr:from>
      <xdr:col>16</xdr:col>
      <xdr:colOff>494182</xdr:colOff>
      <xdr:row>0</xdr:row>
      <xdr:rowOff>80522</xdr:rowOff>
    </xdr:from>
    <xdr:to>
      <xdr:col>28</xdr:col>
      <xdr:colOff>2415030</xdr:colOff>
      <xdr:row>4</xdr:row>
      <xdr:rowOff>81643</xdr:rowOff>
    </xdr:to>
    <xdr:grpSp>
      <xdr:nvGrpSpPr>
        <xdr:cNvPr id="3" name="Group 2">
          <a:extLst>
            <a:ext uri="{FF2B5EF4-FFF2-40B4-BE49-F238E27FC236}">
              <a16:creationId xmlns:a16="http://schemas.microsoft.com/office/drawing/2014/main" id="{00000000-0008-0000-0B00-000003000000}"/>
            </a:ext>
          </a:extLst>
        </xdr:cNvPr>
        <xdr:cNvGrpSpPr/>
      </xdr:nvGrpSpPr>
      <xdr:grpSpPr>
        <a:xfrm>
          <a:off x="6304432" y="80522"/>
          <a:ext cx="3757812" cy="763121"/>
          <a:chOff x="9207497" y="0"/>
          <a:chExt cx="6436395" cy="1001346"/>
        </a:xfrm>
      </xdr:grpSpPr>
      <xdr:grpSp>
        <xdr:nvGrpSpPr>
          <xdr:cNvPr id="4" name="Group 3">
            <a:extLst>
              <a:ext uri="{FF2B5EF4-FFF2-40B4-BE49-F238E27FC236}">
                <a16:creationId xmlns:a16="http://schemas.microsoft.com/office/drawing/2014/main" id="{00000000-0008-0000-0B00-000004000000}"/>
              </a:ext>
            </a:extLst>
          </xdr:cNvPr>
          <xdr:cNvGrpSpPr/>
        </xdr:nvGrpSpPr>
        <xdr:grpSpPr>
          <a:xfrm>
            <a:off x="9207497" y="0"/>
            <a:ext cx="4054231" cy="1001346"/>
            <a:chOff x="9960092" y="70555"/>
            <a:chExt cx="4266055" cy="976019"/>
          </a:xfrm>
        </xdr:grpSpPr>
        <xdr:pic>
          <xdr:nvPicPr>
            <xdr:cNvPr id="9" name="Picture 8">
              <a:extLst>
                <a:ext uri="{FF2B5EF4-FFF2-40B4-BE49-F238E27FC236}">
                  <a16:creationId xmlns:a16="http://schemas.microsoft.com/office/drawing/2014/main" id="{00000000-0008-0000-0B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0092" y="82315"/>
              <a:ext cx="1385889" cy="893704"/>
            </a:xfrm>
            <a:prstGeom prst="rect">
              <a:avLst/>
            </a:prstGeom>
            <a:noFill/>
          </xdr:spPr>
        </xdr:pic>
        <xdr:pic>
          <xdr:nvPicPr>
            <xdr:cNvPr id="10" name="Picture 9">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00554" y="82315"/>
              <a:ext cx="952500" cy="870185"/>
            </a:xfrm>
            <a:prstGeom prst="rect">
              <a:avLst/>
            </a:prstGeom>
            <a:noFill/>
          </xdr:spPr>
        </xdr:pic>
        <xdr:pic>
          <xdr:nvPicPr>
            <xdr:cNvPr id="11" name="Picture 10">
              <a:extLst>
                <a:ext uri="{FF2B5EF4-FFF2-40B4-BE49-F238E27FC236}">
                  <a16:creationId xmlns:a16="http://schemas.microsoft.com/office/drawing/2014/main" id="{00000000-0008-0000-0B00-00000B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76481" y="70555"/>
              <a:ext cx="1549666" cy="976019"/>
            </a:xfrm>
            <a:prstGeom prst="rect">
              <a:avLst/>
            </a:prstGeom>
            <a:noFill/>
          </xdr:spPr>
        </xdr:pic>
      </xdr:grpSp>
      <xdr:grpSp>
        <xdr:nvGrpSpPr>
          <xdr:cNvPr id="5" name="Group 4">
            <a:extLst>
              <a:ext uri="{FF2B5EF4-FFF2-40B4-BE49-F238E27FC236}">
                <a16:creationId xmlns:a16="http://schemas.microsoft.com/office/drawing/2014/main" id="{00000000-0008-0000-0B00-000005000000}"/>
              </a:ext>
            </a:extLst>
          </xdr:cNvPr>
          <xdr:cNvGrpSpPr>
            <a:grpSpLocks noChangeAspect="1"/>
          </xdr:cNvGrpSpPr>
        </xdr:nvGrpSpPr>
        <xdr:grpSpPr bwMode="auto">
          <a:xfrm>
            <a:off x="13444910" y="24424"/>
            <a:ext cx="2198982" cy="920030"/>
            <a:chOff x="7055" y="14930"/>
            <a:chExt cx="3894" cy="1575"/>
          </a:xfrm>
        </xdr:grpSpPr>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6427" b="17262"/>
            <a:stretch>
              <a:fillRect/>
            </a:stretch>
          </xdr:blipFill>
          <xdr:spPr bwMode="auto">
            <a:xfrm>
              <a:off x="7055" y="15300"/>
              <a:ext cx="3894" cy="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Text Box 19">
              <a:extLst>
                <a:ext uri="{FF2B5EF4-FFF2-40B4-BE49-F238E27FC236}">
                  <a16:creationId xmlns:a16="http://schemas.microsoft.com/office/drawing/2014/main" id="{00000000-0008-0000-0B00-000007000000}"/>
                </a:ext>
              </a:extLst>
            </xdr:cNvPr>
            <xdr:cNvSpPr txBox="1">
              <a:spLocks noChangeAspect="1" noChangeArrowheads="1"/>
            </xdr:cNvSpPr>
          </xdr:nvSpPr>
          <xdr:spPr bwMode="auto">
            <a:xfrm>
              <a:off x="7070" y="16097"/>
              <a:ext cx="3416"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en-GB" sz="800" i="1">
                  <a:effectLst/>
                  <a:latin typeface="Arial" panose="020B0604020202020204" pitchFamily="34" charset="0"/>
                  <a:ea typeface="Calibri" panose="020F0502020204030204" pitchFamily="34" charset="0"/>
                  <a:cs typeface="Arial" panose="020B0604020202020204" pitchFamily="34" charset="0"/>
                </a:rPr>
                <a:t>in JV with </a:t>
              </a:r>
              <a:r>
                <a:rPr lang="en-GB" sz="800" b="1" i="1">
                  <a:solidFill>
                    <a:srgbClr val="44546A"/>
                  </a:solidFill>
                  <a:effectLst/>
                  <a:latin typeface="Arial" panose="020B0604020202020204" pitchFamily="34" charset="0"/>
                  <a:ea typeface="Calibri" panose="020F0502020204030204" pitchFamily="34" charset="0"/>
                  <a:cs typeface="Arial" panose="020B0604020202020204" pitchFamily="34" charset="0"/>
                </a:rPr>
                <a:t>SBK Research and Development</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8" name="Text Box 19">
              <a:extLst>
                <a:ext uri="{FF2B5EF4-FFF2-40B4-BE49-F238E27FC236}">
                  <a16:creationId xmlns:a16="http://schemas.microsoft.com/office/drawing/2014/main" id="{00000000-0008-0000-0B00-000008000000}"/>
                </a:ext>
              </a:extLst>
            </xdr:cNvPr>
            <xdr:cNvSpPr txBox="1">
              <a:spLocks noChangeAspect="1" noChangeArrowheads="1"/>
            </xdr:cNvSpPr>
          </xdr:nvSpPr>
          <xdr:spPr bwMode="auto">
            <a:xfrm>
              <a:off x="7100" y="14930"/>
              <a:ext cx="3849"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GB" sz="1000" b="1">
                  <a:solidFill>
                    <a:srgbClr val="00B050"/>
                  </a:solidFill>
                  <a:effectLst/>
                  <a:latin typeface="Arial" panose="020B0604020202020204" pitchFamily="34" charset="0"/>
                  <a:ea typeface="Calibri" panose="020F0502020204030204" pitchFamily="34" charset="0"/>
                  <a:cs typeface="Arial" panose="020B0604020202020204" pitchFamily="34" charset="0"/>
                </a:rPr>
                <a:t>Implemented by</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32656</xdr:colOff>
      <xdr:row>0</xdr:row>
      <xdr:rowOff>32657</xdr:rowOff>
    </xdr:from>
    <xdr:to>
      <xdr:col>1</xdr:col>
      <xdr:colOff>634896</xdr:colOff>
      <xdr:row>5</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6" y="32657"/>
          <a:ext cx="973715" cy="1015093"/>
        </a:xfrm>
        <a:prstGeom prst="rect">
          <a:avLst/>
        </a:prstGeom>
        <a:noFill/>
      </xdr:spPr>
    </xdr:pic>
    <xdr:clientData/>
  </xdr:twoCellAnchor>
  <xdr:twoCellAnchor>
    <xdr:from>
      <xdr:col>21</xdr:col>
      <xdr:colOff>27215</xdr:colOff>
      <xdr:row>0</xdr:row>
      <xdr:rowOff>80522</xdr:rowOff>
    </xdr:from>
    <xdr:to>
      <xdr:col>30</xdr:col>
      <xdr:colOff>793059</xdr:colOff>
      <xdr:row>4</xdr:row>
      <xdr:rowOff>81643</xdr:rowOff>
    </xdr:to>
    <xdr:grpSp>
      <xdr:nvGrpSpPr>
        <xdr:cNvPr id="3" name="Group 2">
          <a:extLst>
            <a:ext uri="{FF2B5EF4-FFF2-40B4-BE49-F238E27FC236}">
              <a16:creationId xmlns:a16="http://schemas.microsoft.com/office/drawing/2014/main" id="{00000000-0008-0000-0C00-000003000000}"/>
            </a:ext>
          </a:extLst>
        </xdr:cNvPr>
        <xdr:cNvGrpSpPr/>
      </xdr:nvGrpSpPr>
      <xdr:grpSpPr>
        <a:xfrm>
          <a:off x="7960179" y="80522"/>
          <a:ext cx="5814094" cy="763121"/>
          <a:chOff x="9207497" y="0"/>
          <a:chExt cx="6436395" cy="1001346"/>
        </a:xfrm>
      </xdr:grpSpPr>
      <xdr:grpSp>
        <xdr:nvGrpSpPr>
          <xdr:cNvPr id="4" name="Group 3">
            <a:extLst>
              <a:ext uri="{FF2B5EF4-FFF2-40B4-BE49-F238E27FC236}">
                <a16:creationId xmlns:a16="http://schemas.microsoft.com/office/drawing/2014/main" id="{00000000-0008-0000-0C00-000004000000}"/>
              </a:ext>
            </a:extLst>
          </xdr:cNvPr>
          <xdr:cNvGrpSpPr/>
        </xdr:nvGrpSpPr>
        <xdr:grpSpPr>
          <a:xfrm>
            <a:off x="9207497" y="0"/>
            <a:ext cx="4054231" cy="1001346"/>
            <a:chOff x="9960092" y="70555"/>
            <a:chExt cx="4266055" cy="976019"/>
          </a:xfrm>
        </xdr:grpSpPr>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0092" y="82315"/>
              <a:ext cx="1385889" cy="893704"/>
            </a:xfrm>
            <a:prstGeom prst="rect">
              <a:avLst/>
            </a:prstGeom>
            <a:noFill/>
          </xdr:spPr>
        </xdr:pic>
        <xdr:pic>
          <xdr:nvPicPr>
            <xdr:cNvPr id="10" name="Picture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00554" y="82315"/>
              <a:ext cx="952500" cy="870185"/>
            </a:xfrm>
            <a:prstGeom prst="rect">
              <a:avLst/>
            </a:prstGeom>
            <a:noFill/>
          </xdr:spPr>
        </xdr:pic>
        <xdr:pic>
          <xdr:nvPicPr>
            <xdr:cNvPr id="11" name="Picture 10">
              <a:extLst>
                <a:ext uri="{FF2B5EF4-FFF2-40B4-BE49-F238E27FC236}">
                  <a16:creationId xmlns:a16="http://schemas.microsoft.com/office/drawing/2014/main" id="{00000000-0008-0000-0C00-00000B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76481" y="70555"/>
              <a:ext cx="1549666" cy="976019"/>
            </a:xfrm>
            <a:prstGeom prst="rect">
              <a:avLst/>
            </a:prstGeom>
            <a:noFill/>
          </xdr:spPr>
        </xdr:pic>
      </xdr:grpSp>
      <xdr:grpSp>
        <xdr:nvGrpSpPr>
          <xdr:cNvPr id="5" name="Group 4">
            <a:extLst>
              <a:ext uri="{FF2B5EF4-FFF2-40B4-BE49-F238E27FC236}">
                <a16:creationId xmlns:a16="http://schemas.microsoft.com/office/drawing/2014/main" id="{00000000-0008-0000-0C00-000005000000}"/>
              </a:ext>
            </a:extLst>
          </xdr:cNvPr>
          <xdr:cNvGrpSpPr>
            <a:grpSpLocks noChangeAspect="1"/>
          </xdr:cNvGrpSpPr>
        </xdr:nvGrpSpPr>
        <xdr:grpSpPr bwMode="auto">
          <a:xfrm>
            <a:off x="13444910" y="24424"/>
            <a:ext cx="2198982" cy="920030"/>
            <a:chOff x="7055" y="14930"/>
            <a:chExt cx="3894" cy="1575"/>
          </a:xfrm>
        </xdr:grpSpPr>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6427" b="17262"/>
            <a:stretch>
              <a:fillRect/>
            </a:stretch>
          </xdr:blipFill>
          <xdr:spPr bwMode="auto">
            <a:xfrm>
              <a:off x="7055" y="15300"/>
              <a:ext cx="3894" cy="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Text Box 19">
              <a:extLst>
                <a:ext uri="{FF2B5EF4-FFF2-40B4-BE49-F238E27FC236}">
                  <a16:creationId xmlns:a16="http://schemas.microsoft.com/office/drawing/2014/main" id="{00000000-0008-0000-0C00-000007000000}"/>
                </a:ext>
              </a:extLst>
            </xdr:cNvPr>
            <xdr:cNvSpPr txBox="1">
              <a:spLocks noChangeAspect="1" noChangeArrowheads="1"/>
            </xdr:cNvSpPr>
          </xdr:nvSpPr>
          <xdr:spPr bwMode="auto">
            <a:xfrm>
              <a:off x="7070" y="16097"/>
              <a:ext cx="3416"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en-GB" sz="800" i="1">
                  <a:effectLst/>
                  <a:latin typeface="Arial" panose="020B0604020202020204" pitchFamily="34" charset="0"/>
                  <a:ea typeface="Calibri" panose="020F0502020204030204" pitchFamily="34" charset="0"/>
                  <a:cs typeface="Arial" panose="020B0604020202020204" pitchFamily="34" charset="0"/>
                </a:rPr>
                <a:t>in JV with </a:t>
              </a:r>
              <a:r>
                <a:rPr lang="en-GB" sz="800" b="1" i="1">
                  <a:solidFill>
                    <a:srgbClr val="44546A"/>
                  </a:solidFill>
                  <a:effectLst/>
                  <a:latin typeface="Arial" panose="020B0604020202020204" pitchFamily="34" charset="0"/>
                  <a:ea typeface="Calibri" panose="020F0502020204030204" pitchFamily="34" charset="0"/>
                  <a:cs typeface="Arial" panose="020B0604020202020204" pitchFamily="34" charset="0"/>
                </a:rPr>
                <a:t>SBK Research and Development</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8" name="Text Box 19">
              <a:extLst>
                <a:ext uri="{FF2B5EF4-FFF2-40B4-BE49-F238E27FC236}">
                  <a16:creationId xmlns:a16="http://schemas.microsoft.com/office/drawing/2014/main" id="{00000000-0008-0000-0C00-000008000000}"/>
                </a:ext>
              </a:extLst>
            </xdr:cNvPr>
            <xdr:cNvSpPr txBox="1">
              <a:spLocks noChangeAspect="1" noChangeArrowheads="1"/>
            </xdr:cNvSpPr>
          </xdr:nvSpPr>
          <xdr:spPr bwMode="auto">
            <a:xfrm>
              <a:off x="7100" y="14930"/>
              <a:ext cx="3849"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GB" sz="1000" b="1">
                  <a:solidFill>
                    <a:srgbClr val="00B050"/>
                  </a:solidFill>
                  <a:effectLst/>
                  <a:latin typeface="Arial" panose="020B0604020202020204" pitchFamily="34" charset="0"/>
                  <a:ea typeface="Calibri" panose="020F0502020204030204" pitchFamily="34" charset="0"/>
                  <a:cs typeface="Arial" panose="020B0604020202020204" pitchFamily="34" charset="0"/>
                </a:rPr>
                <a:t>Implemented by</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32656</xdr:colOff>
      <xdr:row>0</xdr:row>
      <xdr:rowOff>32657</xdr:rowOff>
    </xdr:from>
    <xdr:to>
      <xdr:col>1</xdr:col>
      <xdr:colOff>634896</xdr:colOff>
      <xdr:row>5</xdr:row>
      <xdr:rowOff>0</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6" y="32657"/>
          <a:ext cx="973715" cy="1015093"/>
        </a:xfrm>
        <a:prstGeom prst="rect">
          <a:avLst/>
        </a:prstGeom>
        <a:noFill/>
      </xdr:spPr>
    </xdr:pic>
    <xdr:clientData/>
  </xdr:twoCellAnchor>
  <xdr:twoCellAnchor>
    <xdr:from>
      <xdr:col>27</xdr:col>
      <xdr:colOff>612322</xdr:colOff>
      <xdr:row>0</xdr:row>
      <xdr:rowOff>94131</xdr:rowOff>
    </xdr:from>
    <xdr:to>
      <xdr:col>31</xdr:col>
      <xdr:colOff>861095</xdr:colOff>
      <xdr:row>4</xdr:row>
      <xdr:rowOff>95251</xdr:rowOff>
    </xdr:to>
    <xdr:grpSp>
      <xdr:nvGrpSpPr>
        <xdr:cNvPr id="3" name="Group 2">
          <a:extLst>
            <a:ext uri="{FF2B5EF4-FFF2-40B4-BE49-F238E27FC236}">
              <a16:creationId xmlns:a16="http://schemas.microsoft.com/office/drawing/2014/main" id="{00000000-0008-0000-0D00-000003000000}"/>
            </a:ext>
          </a:extLst>
        </xdr:cNvPr>
        <xdr:cNvGrpSpPr/>
      </xdr:nvGrpSpPr>
      <xdr:grpSpPr>
        <a:xfrm>
          <a:off x="9116786" y="94131"/>
          <a:ext cx="4752738" cy="763120"/>
          <a:chOff x="9207497" y="0"/>
          <a:chExt cx="6436395" cy="1001346"/>
        </a:xfrm>
      </xdr:grpSpPr>
      <xdr:grpSp>
        <xdr:nvGrpSpPr>
          <xdr:cNvPr id="4" name="Group 3">
            <a:extLst>
              <a:ext uri="{FF2B5EF4-FFF2-40B4-BE49-F238E27FC236}">
                <a16:creationId xmlns:a16="http://schemas.microsoft.com/office/drawing/2014/main" id="{00000000-0008-0000-0D00-000004000000}"/>
              </a:ext>
            </a:extLst>
          </xdr:cNvPr>
          <xdr:cNvGrpSpPr/>
        </xdr:nvGrpSpPr>
        <xdr:grpSpPr>
          <a:xfrm>
            <a:off x="9207497" y="0"/>
            <a:ext cx="4054231" cy="1001346"/>
            <a:chOff x="9960092" y="70555"/>
            <a:chExt cx="4266055" cy="976019"/>
          </a:xfrm>
        </xdr:grpSpPr>
        <xdr:pic>
          <xdr:nvPicPr>
            <xdr:cNvPr id="9" name="Picture 8">
              <a:extLst>
                <a:ext uri="{FF2B5EF4-FFF2-40B4-BE49-F238E27FC236}">
                  <a16:creationId xmlns:a16="http://schemas.microsoft.com/office/drawing/2014/main" id="{00000000-0008-0000-0D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0092" y="82315"/>
              <a:ext cx="1385889" cy="893704"/>
            </a:xfrm>
            <a:prstGeom prst="rect">
              <a:avLst/>
            </a:prstGeom>
            <a:noFill/>
          </xdr:spPr>
        </xdr:pic>
        <xdr:pic>
          <xdr:nvPicPr>
            <xdr:cNvPr id="10" name="Picture 9">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00554" y="82315"/>
              <a:ext cx="952500" cy="870185"/>
            </a:xfrm>
            <a:prstGeom prst="rect">
              <a:avLst/>
            </a:prstGeom>
            <a:noFill/>
          </xdr:spPr>
        </xdr:pic>
        <xdr:pic>
          <xdr:nvPicPr>
            <xdr:cNvPr id="11" name="Picture 10">
              <a:extLst>
                <a:ext uri="{FF2B5EF4-FFF2-40B4-BE49-F238E27FC236}">
                  <a16:creationId xmlns:a16="http://schemas.microsoft.com/office/drawing/2014/main" id="{00000000-0008-0000-0D00-00000B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76481" y="70555"/>
              <a:ext cx="1549666" cy="976019"/>
            </a:xfrm>
            <a:prstGeom prst="rect">
              <a:avLst/>
            </a:prstGeom>
            <a:noFill/>
          </xdr:spPr>
        </xdr:pic>
      </xdr:grpSp>
      <xdr:grpSp>
        <xdr:nvGrpSpPr>
          <xdr:cNvPr id="5" name="Group 4">
            <a:extLst>
              <a:ext uri="{FF2B5EF4-FFF2-40B4-BE49-F238E27FC236}">
                <a16:creationId xmlns:a16="http://schemas.microsoft.com/office/drawing/2014/main" id="{00000000-0008-0000-0D00-000005000000}"/>
              </a:ext>
            </a:extLst>
          </xdr:cNvPr>
          <xdr:cNvGrpSpPr>
            <a:grpSpLocks noChangeAspect="1"/>
          </xdr:cNvGrpSpPr>
        </xdr:nvGrpSpPr>
        <xdr:grpSpPr bwMode="auto">
          <a:xfrm>
            <a:off x="13444910" y="24424"/>
            <a:ext cx="2198982" cy="920030"/>
            <a:chOff x="7055" y="14930"/>
            <a:chExt cx="3894" cy="1575"/>
          </a:xfrm>
        </xdr:grpSpPr>
        <xdr:pic>
          <xdr:nvPicPr>
            <xdr:cNvPr id="6" name="Picture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6427" b="17262"/>
            <a:stretch>
              <a:fillRect/>
            </a:stretch>
          </xdr:blipFill>
          <xdr:spPr bwMode="auto">
            <a:xfrm>
              <a:off x="7055" y="15300"/>
              <a:ext cx="3894" cy="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Text Box 19">
              <a:extLst>
                <a:ext uri="{FF2B5EF4-FFF2-40B4-BE49-F238E27FC236}">
                  <a16:creationId xmlns:a16="http://schemas.microsoft.com/office/drawing/2014/main" id="{00000000-0008-0000-0D00-000007000000}"/>
                </a:ext>
              </a:extLst>
            </xdr:cNvPr>
            <xdr:cNvSpPr txBox="1">
              <a:spLocks noChangeAspect="1" noChangeArrowheads="1"/>
            </xdr:cNvSpPr>
          </xdr:nvSpPr>
          <xdr:spPr bwMode="auto">
            <a:xfrm>
              <a:off x="7070" y="16097"/>
              <a:ext cx="3416"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en-GB" sz="800" i="1">
                  <a:effectLst/>
                  <a:latin typeface="Arial" panose="020B0604020202020204" pitchFamily="34" charset="0"/>
                  <a:ea typeface="Calibri" panose="020F0502020204030204" pitchFamily="34" charset="0"/>
                  <a:cs typeface="Arial" panose="020B0604020202020204" pitchFamily="34" charset="0"/>
                </a:rPr>
                <a:t>in JV with </a:t>
              </a:r>
              <a:r>
                <a:rPr lang="en-GB" sz="800" b="1" i="1">
                  <a:solidFill>
                    <a:srgbClr val="44546A"/>
                  </a:solidFill>
                  <a:effectLst/>
                  <a:latin typeface="Arial" panose="020B0604020202020204" pitchFamily="34" charset="0"/>
                  <a:ea typeface="Calibri" panose="020F0502020204030204" pitchFamily="34" charset="0"/>
                  <a:cs typeface="Arial" panose="020B0604020202020204" pitchFamily="34" charset="0"/>
                </a:rPr>
                <a:t>SBK Research and Development</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8" name="Text Box 19">
              <a:extLst>
                <a:ext uri="{FF2B5EF4-FFF2-40B4-BE49-F238E27FC236}">
                  <a16:creationId xmlns:a16="http://schemas.microsoft.com/office/drawing/2014/main" id="{00000000-0008-0000-0D00-000008000000}"/>
                </a:ext>
              </a:extLst>
            </xdr:cNvPr>
            <xdr:cNvSpPr txBox="1">
              <a:spLocks noChangeAspect="1" noChangeArrowheads="1"/>
            </xdr:cNvSpPr>
          </xdr:nvSpPr>
          <xdr:spPr bwMode="auto">
            <a:xfrm>
              <a:off x="7100" y="14930"/>
              <a:ext cx="3849"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GB" sz="1000" b="1">
                  <a:solidFill>
                    <a:srgbClr val="00B050"/>
                  </a:solidFill>
                  <a:effectLst/>
                  <a:latin typeface="Arial" panose="020B0604020202020204" pitchFamily="34" charset="0"/>
                  <a:ea typeface="Calibri" panose="020F0502020204030204" pitchFamily="34" charset="0"/>
                  <a:cs typeface="Arial" panose="020B0604020202020204" pitchFamily="34" charset="0"/>
                </a:rPr>
                <a:t>Implemented by</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52193</xdr:colOff>
      <xdr:row>0</xdr:row>
      <xdr:rowOff>39077</xdr:rowOff>
    </xdr:from>
    <xdr:to>
      <xdr:col>3</xdr:col>
      <xdr:colOff>185510</xdr:colOff>
      <xdr:row>5</xdr:row>
      <xdr:rowOff>6420</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3" y="39077"/>
          <a:ext cx="983240" cy="1041958"/>
        </a:xfrm>
        <a:prstGeom prst="rect">
          <a:avLst/>
        </a:prstGeom>
        <a:noFill/>
      </xdr:spPr>
    </xdr:pic>
    <xdr:clientData/>
  </xdr:twoCellAnchor>
  <xdr:twoCellAnchor>
    <xdr:from>
      <xdr:col>16</xdr:col>
      <xdr:colOff>129065</xdr:colOff>
      <xdr:row>0</xdr:row>
      <xdr:rowOff>41444</xdr:rowOff>
    </xdr:from>
    <xdr:to>
      <xdr:col>27</xdr:col>
      <xdr:colOff>502563</xdr:colOff>
      <xdr:row>4</xdr:row>
      <xdr:rowOff>164709</xdr:rowOff>
    </xdr:to>
    <xdr:grpSp>
      <xdr:nvGrpSpPr>
        <xdr:cNvPr id="3" name="Group 2">
          <a:extLst>
            <a:ext uri="{FF2B5EF4-FFF2-40B4-BE49-F238E27FC236}">
              <a16:creationId xmlns:a16="http://schemas.microsoft.com/office/drawing/2014/main" id="{00000000-0008-0000-0E00-000003000000}"/>
            </a:ext>
          </a:extLst>
        </xdr:cNvPr>
        <xdr:cNvGrpSpPr/>
      </xdr:nvGrpSpPr>
      <xdr:grpSpPr>
        <a:xfrm>
          <a:off x="9483103" y="41444"/>
          <a:ext cx="4610902" cy="904803"/>
          <a:chOff x="9207497" y="0"/>
          <a:chExt cx="6436395" cy="1001346"/>
        </a:xfrm>
      </xdr:grpSpPr>
      <xdr:grpSp>
        <xdr:nvGrpSpPr>
          <xdr:cNvPr id="4" name="Group 3">
            <a:extLst>
              <a:ext uri="{FF2B5EF4-FFF2-40B4-BE49-F238E27FC236}">
                <a16:creationId xmlns:a16="http://schemas.microsoft.com/office/drawing/2014/main" id="{00000000-0008-0000-0E00-000004000000}"/>
              </a:ext>
            </a:extLst>
          </xdr:cNvPr>
          <xdr:cNvGrpSpPr/>
        </xdr:nvGrpSpPr>
        <xdr:grpSpPr>
          <a:xfrm>
            <a:off x="9207497" y="0"/>
            <a:ext cx="4054231" cy="1001346"/>
            <a:chOff x="9960092" y="70555"/>
            <a:chExt cx="4266055" cy="976019"/>
          </a:xfrm>
        </xdr:grpSpPr>
        <xdr:pic>
          <xdr:nvPicPr>
            <xdr:cNvPr id="9" name="Picture 8">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0092" y="82315"/>
              <a:ext cx="1385889" cy="893704"/>
            </a:xfrm>
            <a:prstGeom prst="rect">
              <a:avLst/>
            </a:prstGeom>
            <a:noFill/>
          </xdr:spPr>
        </xdr:pic>
        <xdr:pic>
          <xdr:nvPicPr>
            <xdr:cNvPr id="10" name="Picture 9">
              <a:extLst>
                <a:ext uri="{FF2B5EF4-FFF2-40B4-BE49-F238E27FC236}">
                  <a16:creationId xmlns:a16="http://schemas.microsoft.com/office/drawing/2014/main" id="{00000000-0008-0000-0E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00554" y="82315"/>
              <a:ext cx="952500" cy="870185"/>
            </a:xfrm>
            <a:prstGeom prst="rect">
              <a:avLst/>
            </a:prstGeom>
            <a:noFill/>
          </xdr:spPr>
        </xdr:pic>
        <xdr:pic>
          <xdr:nvPicPr>
            <xdr:cNvPr id="11" name="Picture 10">
              <a:extLst>
                <a:ext uri="{FF2B5EF4-FFF2-40B4-BE49-F238E27FC236}">
                  <a16:creationId xmlns:a16="http://schemas.microsoft.com/office/drawing/2014/main" id="{00000000-0008-0000-0E00-00000B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76481" y="70555"/>
              <a:ext cx="1549666" cy="976019"/>
            </a:xfrm>
            <a:prstGeom prst="rect">
              <a:avLst/>
            </a:prstGeom>
            <a:noFill/>
          </xdr:spPr>
        </xdr:pic>
      </xdr:grpSp>
      <xdr:grpSp>
        <xdr:nvGrpSpPr>
          <xdr:cNvPr id="5" name="Group 4">
            <a:extLst>
              <a:ext uri="{FF2B5EF4-FFF2-40B4-BE49-F238E27FC236}">
                <a16:creationId xmlns:a16="http://schemas.microsoft.com/office/drawing/2014/main" id="{00000000-0008-0000-0E00-000005000000}"/>
              </a:ext>
            </a:extLst>
          </xdr:cNvPr>
          <xdr:cNvGrpSpPr>
            <a:grpSpLocks noChangeAspect="1"/>
          </xdr:cNvGrpSpPr>
        </xdr:nvGrpSpPr>
        <xdr:grpSpPr bwMode="auto">
          <a:xfrm>
            <a:off x="13444910" y="24424"/>
            <a:ext cx="2198982" cy="920030"/>
            <a:chOff x="7055" y="14930"/>
            <a:chExt cx="3894" cy="1575"/>
          </a:xfrm>
        </xdr:grpSpPr>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6427" b="17262"/>
            <a:stretch>
              <a:fillRect/>
            </a:stretch>
          </xdr:blipFill>
          <xdr:spPr bwMode="auto">
            <a:xfrm>
              <a:off x="7055" y="15300"/>
              <a:ext cx="3894" cy="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Text Box 19">
              <a:extLst>
                <a:ext uri="{FF2B5EF4-FFF2-40B4-BE49-F238E27FC236}">
                  <a16:creationId xmlns:a16="http://schemas.microsoft.com/office/drawing/2014/main" id="{00000000-0008-0000-0E00-000007000000}"/>
                </a:ext>
              </a:extLst>
            </xdr:cNvPr>
            <xdr:cNvSpPr txBox="1">
              <a:spLocks noChangeAspect="1" noChangeArrowheads="1"/>
            </xdr:cNvSpPr>
          </xdr:nvSpPr>
          <xdr:spPr bwMode="auto">
            <a:xfrm>
              <a:off x="7070" y="16097"/>
              <a:ext cx="3416"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en-GB" sz="800" i="1">
                  <a:effectLst/>
                  <a:latin typeface="Arial" panose="020B0604020202020204" pitchFamily="34" charset="0"/>
                  <a:ea typeface="Calibri" panose="020F0502020204030204" pitchFamily="34" charset="0"/>
                  <a:cs typeface="Arial" panose="020B0604020202020204" pitchFamily="34" charset="0"/>
                </a:rPr>
                <a:t>in JV with </a:t>
              </a:r>
              <a:r>
                <a:rPr lang="en-GB" sz="800" b="1" i="1">
                  <a:solidFill>
                    <a:srgbClr val="44546A"/>
                  </a:solidFill>
                  <a:effectLst/>
                  <a:latin typeface="Arial" panose="020B0604020202020204" pitchFamily="34" charset="0"/>
                  <a:ea typeface="Calibri" panose="020F0502020204030204" pitchFamily="34" charset="0"/>
                  <a:cs typeface="Arial" panose="020B0604020202020204" pitchFamily="34" charset="0"/>
                </a:rPr>
                <a:t>SBK Research and Development</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8" name="Text Box 19">
              <a:extLst>
                <a:ext uri="{FF2B5EF4-FFF2-40B4-BE49-F238E27FC236}">
                  <a16:creationId xmlns:a16="http://schemas.microsoft.com/office/drawing/2014/main" id="{00000000-0008-0000-0E00-000008000000}"/>
                </a:ext>
              </a:extLst>
            </xdr:cNvPr>
            <xdr:cNvSpPr txBox="1">
              <a:spLocks noChangeAspect="1" noChangeArrowheads="1"/>
            </xdr:cNvSpPr>
          </xdr:nvSpPr>
          <xdr:spPr bwMode="auto">
            <a:xfrm>
              <a:off x="7100" y="14930"/>
              <a:ext cx="3849" cy="408"/>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GB" sz="1000" b="1">
                  <a:solidFill>
                    <a:srgbClr val="00B050"/>
                  </a:solidFill>
                  <a:effectLst/>
                  <a:latin typeface="Arial" panose="020B0604020202020204" pitchFamily="34" charset="0"/>
                  <a:ea typeface="Calibri" panose="020F0502020204030204" pitchFamily="34" charset="0"/>
                  <a:cs typeface="Arial" panose="020B0604020202020204" pitchFamily="34" charset="0"/>
                </a:rPr>
                <a:t>Implemented by</a:t>
              </a:r>
              <a:endParaRPr lang="en-US" sz="11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67522</xdr:rowOff>
    </xdr:from>
    <xdr:to>
      <xdr:col>4</xdr:col>
      <xdr:colOff>425087</xdr:colOff>
      <xdr:row>15</xdr:row>
      <xdr:rowOff>9647</xdr:rowOff>
    </xdr:to>
    <xdr:graphicFrame macro="">
      <xdr:nvGraphicFramePr>
        <xdr:cNvPr id="8" name="Chart 7">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462307</xdr:colOff>
      <xdr:row>0</xdr:row>
      <xdr:rowOff>62023</xdr:rowOff>
    </xdr:from>
    <xdr:to>
      <xdr:col>8</xdr:col>
      <xdr:colOff>887391</xdr:colOff>
      <xdr:row>15</xdr:row>
      <xdr:rowOff>28938</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106100</xdr:colOff>
      <xdr:row>15</xdr:row>
      <xdr:rowOff>38584</xdr:rowOff>
    </xdr:from>
    <xdr:to>
      <xdr:col>4</xdr:col>
      <xdr:colOff>415440</xdr:colOff>
      <xdr:row>38</xdr:row>
      <xdr:rowOff>0</xdr:rowOff>
    </xdr:to>
    <xdr:graphicFrame macro="">
      <xdr:nvGraphicFramePr>
        <xdr:cNvPr id="4" name="Chart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20ADB%203661%20Climate%20Friendly%20Agribusiness%20Value%20Chains%20Sector%20project\3%20CS1%20PIC\2%20CS1%20reports\6%20Monthly%20Report\10%20August%202020\Annexes\Annex%201%20CFAVC_PHYSICAL%20PROGRESS_15AUGUST2020.H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0ADB%203661%20CFAVC\3%20CS1%20PIC\2%20CS1%20reports\6%20Monthly%20Report\11%20September%202020\Annex%201\CFAVC_PHYSICAL_PROGRESS_15SEPTEMBER_WJVD_FF204Oct2020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F format"/>
      <sheetName val="OVER-VIEW(Annex 1)"/>
      <sheetName val="Output 1 (Annex 2)"/>
      <sheetName val=" Output 2 (Annex 3)"/>
      <sheetName val="Output 3 (Annex 4)"/>
    </sheetNames>
    <sheetDataSet>
      <sheetData sheetId="0">
        <row r="8">
          <cell r="S8">
            <v>5.0000000000000001E-3</v>
          </cell>
        </row>
        <row r="9">
          <cell r="S9">
            <v>3.0000000000000001E-3</v>
          </cell>
          <cell r="T9">
            <v>3.4999999999999996E-3</v>
          </cell>
        </row>
        <row r="10">
          <cell r="S10">
            <v>1.5E-3</v>
          </cell>
          <cell r="T10">
            <v>3.0000000000000001E-3</v>
          </cell>
        </row>
        <row r="11">
          <cell r="S11">
            <v>1E-4</v>
          </cell>
          <cell r="T11">
            <v>2.0000000000000001E-4</v>
          </cell>
        </row>
        <row r="12">
          <cell r="S12">
            <v>7.4999999999999993E-5</v>
          </cell>
          <cell r="T12">
            <v>1.4999999999999999E-4</v>
          </cell>
        </row>
        <row r="13">
          <cell r="S13">
            <v>1.4999999999999999E-4</v>
          </cell>
          <cell r="T13">
            <v>2.2499999999999999E-4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1(MEF format)"/>
      <sheetName val="Annex 2 (OVER-VIEW)"/>
      <sheetName val="Annex 3 (Output 1)"/>
      <sheetName val="Annne 4(Output 2)"/>
      <sheetName val="Annex 5 (Output 3)"/>
    </sheetNames>
    <sheetDataSet>
      <sheetData sheetId="0"/>
      <sheetData sheetId="1"/>
      <sheetData sheetId="2">
        <row r="14">
          <cell r="M14">
            <v>2.4444444444444446</v>
          </cell>
          <cell r="N14">
            <v>0.8607407407407407</v>
          </cell>
          <cell r="R14">
            <v>11.813888888888888</v>
          </cell>
          <cell r="S14">
            <v>3.5340000000000003</v>
          </cell>
          <cell r="W14">
            <v>17.706234567901234</v>
          </cell>
          <cell r="X14">
            <v>5.6147407407407401</v>
          </cell>
          <cell r="AB14">
            <v>24.023617283950621</v>
          </cell>
          <cell r="AC14">
            <v>7.1303674074074079</v>
          </cell>
        </row>
        <row r="20">
          <cell r="M20">
            <v>0</v>
          </cell>
          <cell r="N20">
            <v>0</v>
          </cell>
          <cell r="R20">
            <v>3.34375</v>
          </cell>
          <cell r="S20">
            <v>0.35104166666666664</v>
          </cell>
          <cell r="W20">
            <v>7.09375</v>
          </cell>
          <cell r="X20">
            <v>0.75104166666666672</v>
          </cell>
          <cell r="AB20">
            <v>7.09375</v>
          </cell>
          <cell r="AC20">
            <v>0.75104166666666672</v>
          </cell>
        </row>
        <row r="27">
          <cell r="M27">
            <v>6.286607799852832</v>
          </cell>
          <cell r="N27">
            <v>1.7086999999999999</v>
          </cell>
          <cell r="R27">
            <v>20.903142508676478</v>
          </cell>
          <cell r="S27">
            <v>5.3843200000000007</v>
          </cell>
          <cell r="W27">
            <v>27.9494794111001</v>
          </cell>
          <cell r="X27">
            <v>6.8472000000000008</v>
          </cell>
          <cell r="AB27">
            <v>33.139669627389296</v>
          </cell>
          <cell r="AC27">
            <v>8.1080000000000005</v>
          </cell>
        </row>
        <row r="33">
          <cell r="M33">
            <v>2.25</v>
          </cell>
          <cell r="N33">
            <v>0.5625</v>
          </cell>
          <cell r="R33">
            <v>34</v>
          </cell>
          <cell r="S33">
            <v>8.5</v>
          </cell>
          <cell r="W33">
            <v>34</v>
          </cell>
          <cell r="X33">
            <v>8.5</v>
          </cell>
          <cell r="AB33">
            <v>34</v>
          </cell>
          <cell r="AC33">
            <v>8.5</v>
          </cell>
        </row>
        <row r="38">
          <cell r="M38">
            <v>4</v>
          </cell>
          <cell r="N38">
            <v>4</v>
          </cell>
          <cell r="R38">
            <v>10</v>
          </cell>
          <cell r="S38">
            <v>10</v>
          </cell>
          <cell r="W38">
            <v>10</v>
          </cell>
          <cell r="X38">
            <v>10</v>
          </cell>
          <cell r="AB38">
            <v>10</v>
          </cell>
          <cell r="AC38">
            <v>10</v>
          </cell>
        </row>
        <row r="44">
          <cell r="M44">
            <v>0.10500000000000001</v>
          </cell>
          <cell r="N44">
            <v>0.670875</v>
          </cell>
          <cell r="R44">
            <v>1.0356000000000001</v>
          </cell>
          <cell r="S44">
            <v>5.9749999999999996</v>
          </cell>
          <cell r="W44">
            <v>4.0380000000000003</v>
          </cell>
          <cell r="X44">
            <v>6.5</v>
          </cell>
          <cell r="AB44">
            <v>4.1180000000000003</v>
          </cell>
          <cell r="AC44">
            <v>6.503333333333333</v>
          </cell>
        </row>
        <row r="50">
          <cell r="M50">
            <v>2.504</v>
          </cell>
          <cell r="N50">
            <v>0.43749999999999994</v>
          </cell>
          <cell r="R50">
            <v>3.5712000000000002</v>
          </cell>
          <cell r="S50">
            <v>6.0791666666666657</v>
          </cell>
          <cell r="W50">
            <v>4.0759999999999996</v>
          </cell>
          <cell r="X50">
            <v>6.5</v>
          </cell>
          <cell r="AB50">
            <v>4.2359999999999998</v>
          </cell>
          <cell r="AC50">
            <v>6.5066666666666668</v>
          </cell>
        </row>
      </sheetData>
      <sheetData sheetId="3">
        <row r="14">
          <cell r="M14">
            <v>4.25</v>
          </cell>
          <cell r="N14">
            <v>1.8125</v>
          </cell>
          <cell r="R14">
            <v>9</v>
          </cell>
          <cell r="S14">
            <v>3.25</v>
          </cell>
          <cell r="W14">
            <v>9</v>
          </cell>
          <cell r="X14">
            <v>3.25</v>
          </cell>
          <cell r="AB14">
            <v>9</v>
          </cell>
          <cell r="AC14">
            <v>3.25</v>
          </cell>
        </row>
        <row r="22">
          <cell r="M22">
            <v>13.5</v>
          </cell>
          <cell r="N22">
            <v>10.125</v>
          </cell>
          <cell r="R22">
            <v>15</v>
          </cell>
          <cell r="S22">
            <v>11.25</v>
          </cell>
          <cell r="W22">
            <v>15</v>
          </cell>
          <cell r="X22">
            <v>11.25</v>
          </cell>
        </row>
        <row r="32">
          <cell r="M32">
            <v>2.4</v>
          </cell>
          <cell r="N32">
            <v>1.3611111111111112</v>
          </cell>
          <cell r="R32">
            <v>9</v>
          </cell>
          <cell r="S32">
            <v>6.481481481481481</v>
          </cell>
          <cell r="W32">
            <v>10</v>
          </cell>
          <cell r="X32">
            <v>6.8518518518518512</v>
          </cell>
          <cell r="AB32">
            <v>10</v>
          </cell>
          <cell r="AC32">
            <v>6.8518518518518512</v>
          </cell>
        </row>
        <row r="38">
          <cell r="M38">
            <v>10</v>
          </cell>
          <cell r="R38">
            <v>1</v>
          </cell>
          <cell r="W38">
            <v>1</v>
          </cell>
        </row>
        <row r="44">
          <cell r="M44">
            <v>17.5</v>
          </cell>
          <cell r="N44">
            <v>10</v>
          </cell>
          <cell r="R44">
            <v>30</v>
          </cell>
          <cell r="S44">
            <v>18.75</v>
          </cell>
          <cell r="X44">
            <v>20</v>
          </cell>
          <cell r="AB44">
            <v>56.5</v>
          </cell>
          <cell r="AC44">
            <v>20</v>
          </cell>
        </row>
        <row r="50">
          <cell r="M50">
            <v>10</v>
          </cell>
          <cell r="N50">
            <v>2.5</v>
          </cell>
          <cell r="R50">
            <v>52.5</v>
          </cell>
          <cell r="S50">
            <v>13.125</v>
          </cell>
          <cell r="W50">
            <v>55</v>
          </cell>
          <cell r="X50">
            <v>13.75</v>
          </cell>
          <cell r="AB50">
            <v>79</v>
          </cell>
          <cell r="AC50">
            <v>21.75</v>
          </cell>
        </row>
      </sheetData>
      <sheetData sheetId="4">
        <row r="13">
          <cell r="M13">
            <v>18</v>
          </cell>
          <cell r="N13">
            <v>9.5</v>
          </cell>
          <cell r="R13">
            <v>14</v>
          </cell>
          <cell r="S13">
            <v>7.75</v>
          </cell>
          <cell r="W13">
            <v>14.5</v>
          </cell>
          <cell r="AB13">
            <v>14.5</v>
          </cell>
        </row>
        <row r="19">
          <cell r="M19">
            <v>0</v>
          </cell>
          <cell r="N19">
            <v>0</v>
          </cell>
          <cell r="R19">
            <v>0</v>
          </cell>
          <cell r="S19">
            <v>0</v>
          </cell>
          <cell r="W19">
            <v>18</v>
          </cell>
          <cell r="X19">
            <v>9</v>
          </cell>
          <cell r="AB19">
            <v>20</v>
          </cell>
          <cell r="AC19">
            <v>10</v>
          </cell>
        </row>
        <row r="25">
          <cell r="M25">
            <v>10</v>
          </cell>
          <cell r="N25">
            <v>5</v>
          </cell>
          <cell r="R25">
            <v>0</v>
          </cell>
          <cell r="S25">
            <v>0</v>
          </cell>
          <cell r="W25">
            <v>0</v>
          </cell>
          <cell r="X25">
            <v>0</v>
          </cell>
          <cell r="AB25">
            <v>8</v>
          </cell>
          <cell r="AC25">
            <v>4</v>
          </cell>
        </row>
        <row r="31">
          <cell r="M31">
            <v>0</v>
          </cell>
          <cell r="N31">
            <v>0</v>
          </cell>
          <cell r="R31">
            <v>0</v>
          </cell>
          <cell r="S31">
            <v>0</v>
          </cell>
          <cell r="W31">
            <v>0</v>
          </cell>
        </row>
        <row r="37">
          <cell r="M37">
            <v>0</v>
          </cell>
          <cell r="N37">
            <v>0</v>
          </cell>
          <cell r="R37">
            <v>0</v>
          </cell>
          <cell r="S37">
            <v>0</v>
          </cell>
          <cell r="W37">
            <v>0</v>
          </cell>
          <cell r="AB37">
            <v>0</v>
          </cell>
          <cell r="AC37">
            <v>0</v>
          </cell>
        </row>
        <row r="41">
          <cell r="M41">
            <v>0</v>
          </cell>
          <cell r="N41">
            <v>0</v>
          </cell>
          <cell r="R41">
            <v>0</v>
          </cell>
          <cell r="S41">
            <v>0</v>
          </cell>
          <cell r="W41">
            <v>0</v>
          </cell>
          <cell r="AB41">
            <v>0</v>
          </cell>
          <cell r="AC41">
            <v>0</v>
          </cell>
        </row>
        <row r="45">
          <cell r="N45">
            <v>4.3499999999999996</v>
          </cell>
          <cell r="S45">
            <v>4.125</v>
          </cell>
          <cell r="X45">
            <v>6.6</v>
          </cell>
          <cell r="AB45">
            <v>26.4</v>
          </cell>
          <cell r="AC45">
            <v>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1"/>
  <sheetViews>
    <sheetView view="pageBreakPreview" topLeftCell="G1" zoomScale="90" zoomScaleNormal="100" zoomScaleSheetLayoutView="90" workbookViewId="0">
      <selection activeCell="P5" sqref="P5:W5"/>
    </sheetView>
  </sheetViews>
  <sheetFormatPr defaultRowHeight="15"/>
  <cols>
    <col min="1" max="1" width="5" customWidth="1"/>
    <col min="2" max="2" width="7.85546875" customWidth="1"/>
    <col min="3" max="3" width="58.42578125" customWidth="1"/>
    <col min="4" max="4" width="13.5703125" customWidth="1"/>
    <col min="5" max="5" width="6.5703125" customWidth="1"/>
    <col min="6" max="6" width="13.85546875" customWidth="1"/>
    <col min="7" max="7" width="8.140625" customWidth="1"/>
    <col min="8" max="8" width="12.42578125" customWidth="1"/>
    <col min="9" max="9" width="14.28515625" customWidth="1"/>
    <col min="12" max="12" width="9.140625" style="4"/>
    <col min="13" max="15" width="11.7109375" style="4" customWidth="1"/>
    <col min="16" max="16" width="11.7109375" customWidth="1"/>
    <col min="17" max="17" width="10.42578125" customWidth="1"/>
    <col min="18" max="18" width="9.7109375" bestFit="1" customWidth="1"/>
    <col min="20" max="23" width="10.7109375" style="4" customWidth="1"/>
    <col min="24" max="24" width="10.140625" customWidth="1"/>
    <col min="25" max="25" width="10.28515625" customWidth="1"/>
    <col min="26" max="26" width="10.28515625" style="4" customWidth="1"/>
    <col min="27" max="27" width="10" bestFit="1" customWidth="1"/>
    <col min="28" max="29" width="10.140625" bestFit="1" customWidth="1"/>
    <col min="30" max="30" width="8.85546875" customWidth="1"/>
    <col min="31" max="31" width="8.85546875" style="4" customWidth="1"/>
  </cols>
  <sheetData>
    <row r="1" spans="1:31" ht="18">
      <c r="C1" s="1491" t="s">
        <v>147</v>
      </c>
      <c r="D1" s="1491"/>
      <c r="E1" s="1491"/>
      <c r="F1" s="1491"/>
      <c r="G1" s="1491"/>
      <c r="H1" s="1491"/>
      <c r="I1" s="1491"/>
      <c r="J1" s="1491"/>
      <c r="K1" s="1491"/>
      <c r="L1" s="1491"/>
      <c r="M1" s="1491"/>
      <c r="N1" s="1491"/>
      <c r="O1" s="1491"/>
      <c r="P1" s="1491"/>
      <c r="Q1" s="1491"/>
      <c r="R1" s="1491"/>
      <c r="S1" s="1491"/>
      <c r="T1" s="1491"/>
      <c r="U1" s="1491"/>
      <c r="V1" s="1491"/>
      <c r="W1" s="1491"/>
      <c r="X1" s="1491"/>
      <c r="Y1" s="1491"/>
      <c r="Z1" s="1491"/>
      <c r="AA1" s="1491"/>
      <c r="AB1" s="1491"/>
    </row>
    <row r="3" spans="1:31" ht="16.149999999999999" customHeight="1">
      <c r="B3" s="4"/>
      <c r="C3" s="4"/>
      <c r="D3" s="4"/>
      <c r="E3" s="4"/>
      <c r="F3" s="4"/>
      <c r="G3" s="4"/>
      <c r="H3" s="16" t="s">
        <v>76</v>
      </c>
      <c r="I3" s="16" t="s">
        <v>160</v>
      </c>
      <c r="J3" s="4" t="s">
        <v>4</v>
      </c>
      <c r="K3" s="4"/>
      <c r="P3" s="4"/>
      <c r="Q3" s="4"/>
      <c r="R3" s="4" t="s">
        <v>151</v>
      </c>
      <c r="S3" s="4">
        <v>12</v>
      </c>
      <c r="T3" s="4" t="s">
        <v>152</v>
      </c>
      <c r="U3" s="4">
        <v>60</v>
      </c>
      <c r="X3" s="4"/>
      <c r="Y3" s="4"/>
      <c r="AA3" s="4"/>
      <c r="AC3" s="1"/>
    </row>
    <row r="4" spans="1:31" ht="14.25" customHeight="1" thickBot="1">
      <c r="B4" s="4"/>
      <c r="C4" s="4"/>
      <c r="D4" s="4"/>
      <c r="E4" s="4"/>
      <c r="F4" s="4"/>
      <c r="G4" s="4"/>
      <c r="H4" s="4"/>
      <c r="I4" s="4"/>
      <c r="J4" s="4"/>
      <c r="K4" s="4"/>
      <c r="P4" s="4"/>
      <c r="Q4" s="4"/>
      <c r="R4" s="4"/>
      <c r="S4" s="4"/>
      <c r="X4" s="4"/>
      <c r="Y4" s="4"/>
      <c r="AA4" s="4"/>
    </row>
    <row r="5" spans="1:31" ht="33.75" customHeight="1" thickTop="1">
      <c r="B5" s="1492" t="s">
        <v>111</v>
      </c>
      <c r="C5" s="1493"/>
      <c r="D5" s="1496" t="s">
        <v>78</v>
      </c>
      <c r="E5" s="150"/>
      <c r="F5" s="1504" t="s">
        <v>158</v>
      </c>
      <c r="G5" s="154"/>
      <c r="H5" s="1498" t="s">
        <v>17</v>
      </c>
      <c r="I5" s="1499"/>
      <c r="J5" s="1499"/>
      <c r="K5" s="1499"/>
      <c r="L5" s="1499"/>
      <c r="M5" s="1499"/>
      <c r="N5" s="1496"/>
      <c r="O5" s="1501"/>
      <c r="P5" s="1502" t="s">
        <v>79</v>
      </c>
      <c r="Q5" s="1499"/>
      <c r="R5" s="1499"/>
      <c r="S5" s="1499"/>
      <c r="T5" s="1499"/>
      <c r="U5" s="1499"/>
      <c r="V5" s="1499"/>
      <c r="W5" s="1503"/>
      <c r="X5" s="1498" t="s">
        <v>120</v>
      </c>
      <c r="Y5" s="1499"/>
      <c r="Z5" s="1499"/>
      <c r="AA5" s="1499"/>
      <c r="AB5" s="1499"/>
      <c r="AC5" s="1499"/>
      <c r="AD5" s="1499"/>
      <c r="AE5" s="1500"/>
    </row>
    <row r="6" spans="1:31" ht="39.950000000000003" customHeight="1" thickBot="1">
      <c r="B6" s="1494"/>
      <c r="C6" s="1495"/>
      <c r="D6" s="1497"/>
      <c r="E6" s="151" t="s">
        <v>4</v>
      </c>
      <c r="F6" s="1505"/>
      <c r="G6" s="155" t="s">
        <v>4</v>
      </c>
      <c r="H6" s="65" t="s">
        <v>97</v>
      </c>
      <c r="I6" s="66" t="s">
        <v>77</v>
      </c>
      <c r="J6" s="64" t="s">
        <v>112</v>
      </c>
      <c r="K6" s="64" t="s">
        <v>145</v>
      </c>
      <c r="L6" s="64" t="s">
        <v>146</v>
      </c>
      <c r="M6" s="69" t="s">
        <v>149</v>
      </c>
      <c r="N6" s="143" t="s">
        <v>155</v>
      </c>
      <c r="O6" s="68" t="s">
        <v>157</v>
      </c>
      <c r="P6" s="67" t="s">
        <v>97</v>
      </c>
      <c r="Q6" s="66" t="s">
        <v>77</v>
      </c>
      <c r="R6" s="64" t="s">
        <v>112</v>
      </c>
      <c r="S6" s="64" t="s">
        <v>145</v>
      </c>
      <c r="T6" s="64" t="s">
        <v>146</v>
      </c>
      <c r="U6" s="69" t="s">
        <v>149</v>
      </c>
      <c r="V6" s="69" t="s">
        <v>155</v>
      </c>
      <c r="W6" s="106" t="s">
        <v>157</v>
      </c>
      <c r="X6" s="65" t="s">
        <v>97</v>
      </c>
      <c r="Y6" s="66" t="s">
        <v>77</v>
      </c>
      <c r="Z6" s="66" t="s">
        <v>112</v>
      </c>
      <c r="AA6" s="64" t="s">
        <v>145</v>
      </c>
      <c r="AB6" s="69" t="s">
        <v>146</v>
      </c>
      <c r="AC6" s="69" t="s">
        <v>149</v>
      </c>
      <c r="AD6" s="69" t="s">
        <v>155</v>
      </c>
      <c r="AE6" s="142" t="s">
        <v>157</v>
      </c>
    </row>
    <row r="7" spans="1:31" ht="54.95" customHeight="1">
      <c r="B7" s="127">
        <v>1</v>
      </c>
      <c r="C7" s="77" t="s">
        <v>115</v>
      </c>
      <c r="D7" s="146">
        <v>5.0000000000000001E-3</v>
      </c>
      <c r="E7" s="152"/>
      <c r="F7" s="158">
        <v>5.0000000000000001E-3</v>
      </c>
      <c r="G7" s="156"/>
      <c r="H7" s="84">
        <v>1</v>
      </c>
      <c r="I7" s="85">
        <v>1</v>
      </c>
      <c r="J7" s="85">
        <f t="shared" ref="J7:L8" si="0">I7</f>
        <v>1</v>
      </c>
      <c r="K7" s="85">
        <f t="shared" si="0"/>
        <v>1</v>
      </c>
      <c r="L7" s="85">
        <f t="shared" si="0"/>
        <v>1</v>
      </c>
      <c r="M7" s="85">
        <f t="shared" ref="M7:O8" si="1">L7</f>
        <v>1</v>
      </c>
      <c r="N7" s="85">
        <f t="shared" si="1"/>
        <v>1</v>
      </c>
      <c r="O7" s="85">
        <f t="shared" si="1"/>
        <v>1</v>
      </c>
      <c r="P7" s="140">
        <f>'[1]MEF format'!$S$8</f>
        <v>5.0000000000000001E-3</v>
      </c>
      <c r="Q7" s="141">
        <f t="shared" ref="Q7:U7" si="2">P7</f>
        <v>5.0000000000000001E-3</v>
      </c>
      <c r="R7" s="141">
        <f t="shared" si="2"/>
        <v>5.0000000000000001E-3</v>
      </c>
      <c r="S7" s="141">
        <f t="shared" si="2"/>
        <v>5.0000000000000001E-3</v>
      </c>
      <c r="T7" s="141">
        <f t="shared" si="2"/>
        <v>5.0000000000000001E-3</v>
      </c>
      <c r="U7" s="141">
        <f t="shared" si="2"/>
        <v>5.0000000000000001E-3</v>
      </c>
      <c r="V7" s="141">
        <f>U7</f>
        <v>5.0000000000000001E-3</v>
      </c>
      <c r="W7" s="141">
        <f>V7</f>
        <v>5.0000000000000001E-3</v>
      </c>
      <c r="X7" s="1485" t="s">
        <v>4</v>
      </c>
      <c r="Y7" s="1486"/>
      <c r="Z7" s="1486"/>
      <c r="AA7" s="1486"/>
      <c r="AB7" s="1486"/>
      <c r="AC7" s="1486"/>
      <c r="AD7" s="1486"/>
      <c r="AE7" s="1487"/>
    </row>
    <row r="8" spans="1:31" ht="54.95" customHeight="1">
      <c r="B8" s="128">
        <v>2</v>
      </c>
      <c r="C8" s="78" t="s">
        <v>80</v>
      </c>
      <c r="D8" s="147">
        <v>5.0000000000000001E-3</v>
      </c>
      <c r="E8" s="152"/>
      <c r="F8" s="159">
        <v>3.5000000000000001E-3</v>
      </c>
      <c r="G8" s="156"/>
      <c r="H8" s="86">
        <v>0.6</v>
      </c>
      <c r="I8" s="87">
        <v>0.7</v>
      </c>
      <c r="J8" s="87">
        <f t="shared" si="0"/>
        <v>0.7</v>
      </c>
      <c r="K8" s="87">
        <f t="shared" si="0"/>
        <v>0.7</v>
      </c>
      <c r="L8" s="87">
        <f t="shared" si="0"/>
        <v>0.7</v>
      </c>
      <c r="M8" s="87">
        <f t="shared" si="1"/>
        <v>0.7</v>
      </c>
      <c r="N8" s="87">
        <f t="shared" si="1"/>
        <v>0.7</v>
      </c>
      <c r="O8" s="87">
        <f t="shared" si="1"/>
        <v>0.7</v>
      </c>
      <c r="P8" s="88">
        <f>'[1]MEF format'!$S$9</f>
        <v>3.0000000000000001E-3</v>
      </c>
      <c r="Q8" s="89">
        <f>'[1]MEF format'!$T$9</f>
        <v>3.4999999999999996E-3</v>
      </c>
      <c r="R8" s="89">
        <f>Q8</f>
        <v>3.4999999999999996E-3</v>
      </c>
      <c r="S8" s="89">
        <f>R8</f>
        <v>3.4999999999999996E-3</v>
      </c>
      <c r="T8" s="89">
        <v>3.5000000000000001E-3</v>
      </c>
      <c r="U8" s="89">
        <f>T8</f>
        <v>3.5000000000000001E-3</v>
      </c>
      <c r="V8" s="89">
        <f>U8</f>
        <v>3.5000000000000001E-3</v>
      </c>
      <c r="W8" s="89">
        <f>V8</f>
        <v>3.5000000000000001E-3</v>
      </c>
      <c r="X8" s="1488"/>
      <c r="Y8" s="1489"/>
      <c r="Z8" s="1489"/>
      <c r="AA8" s="1489"/>
      <c r="AB8" s="1489"/>
      <c r="AC8" s="1489"/>
      <c r="AD8" s="1489"/>
      <c r="AE8" s="1490"/>
    </row>
    <row r="9" spans="1:31" ht="54.95" customHeight="1">
      <c r="B9" s="128">
        <v>3</v>
      </c>
      <c r="C9" s="78" t="s">
        <v>88</v>
      </c>
      <c r="D9" s="147">
        <v>0.04</v>
      </c>
      <c r="E9" s="152"/>
      <c r="F9" s="159">
        <v>8.0000000000000002E-3</v>
      </c>
      <c r="G9" s="156"/>
      <c r="H9" s="90">
        <v>3.7499999999999999E-2</v>
      </c>
      <c r="I9" s="87">
        <v>7.4999999999999997E-2</v>
      </c>
      <c r="J9" s="87">
        <v>0.1</v>
      </c>
      <c r="K9" s="87">
        <f>J9+4.3*0.5%</f>
        <v>0.1215</v>
      </c>
      <c r="L9" s="87">
        <v>0.14499999999999999</v>
      </c>
      <c r="M9" s="87">
        <f>S3/U3</f>
        <v>0.2</v>
      </c>
      <c r="N9" s="87">
        <v>0.2</v>
      </c>
      <c r="O9" s="87">
        <v>0.25</v>
      </c>
      <c r="P9" s="88">
        <f>'[1]MEF format'!$S$10</f>
        <v>1.5E-3</v>
      </c>
      <c r="Q9" s="89">
        <f>'[1]MEF format'!$T$10</f>
        <v>3.0000000000000001E-3</v>
      </c>
      <c r="R9" s="89">
        <f>45%/100</f>
        <v>4.5000000000000005E-3</v>
      </c>
      <c r="S9" s="89">
        <v>4.7499999999999999E-3</v>
      </c>
      <c r="T9" s="91">
        <f>L9*D9</f>
        <v>5.7999999999999996E-3</v>
      </c>
      <c r="U9" s="89">
        <f>M9*D9</f>
        <v>8.0000000000000002E-3</v>
      </c>
      <c r="V9" s="95">
        <f>N9*D9</f>
        <v>8.0000000000000002E-3</v>
      </c>
      <c r="W9" s="89">
        <f>O9*D9</f>
        <v>0.01</v>
      </c>
      <c r="X9" s="107">
        <v>0.25</v>
      </c>
      <c r="Y9" s="92">
        <v>0.5</v>
      </c>
      <c r="Z9" s="92">
        <v>0.65</v>
      </c>
      <c r="AA9" s="92">
        <v>0.72499999999999998</v>
      </c>
      <c r="AB9" s="93">
        <v>0.8</v>
      </c>
      <c r="AC9" s="93">
        <v>0.87</v>
      </c>
      <c r="AD9" s="117">
        <v>0.95</v>
      </c>
      <c r="AE9" s="129">
        <v>1</v>
      </c>
    </row>
    <row r="10" spans="1:31" ht="54.95" customHeight="1">
      <c r="B10" s="128">
        <v>4</v>
      </c>
      <c r="C10" s="78" t="s">
        <v>89</v>
      </c>
      <c r="D10" s="147">
        <v>0.02</v>
      </c>
      <c r="E10" s="152"/>
      <c r="F10" s="159">
        <v>3.4000000000000002E-4</v>
      </c>
      <c r="G10" s="156"/>
      <c r="H10" s="90">
        <v>5.0000000000000001E-3</v>
      </c>
      <c r="I10" s="87">
        <v>0.01</v>
      </c>
      <c r="J10" s="87">
        <v>1.2E-2</v>
      </c>
      <c r="K10" s="87">
        <v>1.2E-2</v>
      </c>
      <c r="L10" s="87">
        <v>1.2999999999999999E-2</v>
      </c>
      <c r="M10" s="87">
        <v>1.6E-2</v>
      </c>
      <c r="N10" s="87">
        <v>1.6E-2</v>
      </c>
      <c r="O10" s="87">
        <v>1.6E-2</v>
      </c>
      <c r="P10" s="88">
        <f>'[1]MEF format'!$S$11</f>
        <v>1E-4</v>
      </c>
      <c r="Q10" s="89">
        <f>'[1]MEF format'!$T$11</f>
        <v>2.0000000000000001E-4</v>
      </c>
      <c r="R10" s="89">
        <f>Q10</f>
        <v>2.0000000000000001E-4</v>
      </c>
      <c r="S10" s="89">
        <v>2.9999999999999997E-4</v>
      </c>
      <c r="T10" s="89">
        <v>2.9999999999999997E-4</v>
      </c>
      <c r="U10" s="89">
        <f>M10*D10</f>
        <v>3.2000000000000003E-4</v>
      </c>
      <c r="V10" s="145">
        <f>N10*D10</f>
        <v>3.2000000000000003E-4</v>
      </c>
      <c r="W10" s="145">
        <f>O10*D10</f>
        <v>3.2000000000000003E-4</v>
      </c>
      <c r="X10" s="107">
        <v>0.1</v>
      </c>
      <c r="Y10" s="92">
        <v>0.2</v>
      </c>
      <c r="Z10" s="92">
        <v>0.25</v>
      </c>
      <c r="AA10" s="92">
        <v>0.3</v>
      </c>
      <c r="AB10" s="93">
        <v>0.35</v>
      </c>
      <c r="AC10" s="93">
        <v>0.5</v>
      </c>
      <c r="AD10" s="117">
        <v>0.55000000000000004</v>
      </c>
      <c r="AE10" s="129">
        <v>0.65</v>
      </c>
    </row>
    <row r="11" spans="1:31" ht="54.95" customHeight="1">
      <c r="B11" s="128">
        <v>5</v>
      </c>
      <c r="C11" s="78" t="s">
        <v>90</v>
      </c>
      <c r="D11" s="147">
        <v>1.4999999999999999E-2</v>
      </c>
      <c r="E11" s="152"/>
      <c r="F11" s="159">
        <v>2.5000000000000001E-4</v>
      </c>
      <c r="G11" s="156"/>
      <c r="H11" s="90">
        <v>5.0000000000000001E-3</v>
      </c>
      <c r="I11" s="87">
        <v>0.01</v>
      </c>
      <c r="J11" s="87">
        <v>1.2E-2</v>
      </c>
      <c r="K11" s="87">
        <v>1.2E-2</v>
      </c>
      <c r="L11" s="87">
        <v>1.2999999999999999E-2</v>
      </c>
      <c r="M11" s="87">
        <v>1.6E-2</v>
      </c>
      <c r="N11" s="87">
        <v>1.6E-2</v>
      </c>
      <c r="O11" s="87">
        <v>1.6E-2</v>
      </c>
      <c r="P11" s="88">
        <f>'[1]MEF format'!$S$12</f>
        <v>7.4999999999999993E-5</v>
      </c>
      <c r="Q11" s="89">
        <f>'[1]MEF format'!$T$12</f>
        <v>1.4999999999999999E-4</v>
      </c>
      <c r="R11" s="89">
        <f>Q11</f>
        <v>1.4999999999999999E-4</v>
      </c>
      <c r="S11" s="89">
        <f>R11</f>
        <v>1.4999999999999999E-4</v>
      </c>
      <c r="T11" s="89">
        <v>2.0000000000000001E-4</v>
      </c>
      <c r="U11" s="89">
        <f>M11*D11</f>
        <v>2.4000000000000001E-4</v>
      </c>
      <c r="V11" s="145">
        <f>N11*D11</f>
        <v>2.4000000000000001E-4</v>
      </c>
      <c r="W11" s="145">
        <f>O11*D11</f>
        <v>2.4000000000000001E-4</v>
      </c>
      <c r="X11" s="107">
        <v>0.25</v>
      </c>
      <c r="Y11" s="92">
        <v>0.5</v>
      </c>
      <c r="Z11" s="92">
        <v>0.6</v>
      </c>
      <c r="AA11" s="92">
        <v>0.65</v>
      </c>
      <c r="AB11" s="93">
        <v>0.72</v>
      </c>
      <c r="AC11" s="93">
        <v>0.75</v>
      </c>
      <c r="AD11" s="117">
        <v>0.8</v>
      </c>
      <c r="AE11" s="129">
        <v>0.85</v>
      </c>
    </row>
    <row r="12" spans="1:31" ht="54.95" customHeight="1">
      <c r="B12" s="128">
        <v>6</v>
      </c>
      <c r="C12" s="78" t="s">
        <v>91</v>
      </c>
      <c r="D12" s="147">
        <v>1.4999999999999999E-2</v>
      </c>
      <c r="E12" s="152"/>
      <c r="F12" s="159">
        <v>2.9999999999999997E-4</v>
      </c>
      <c r="G12" s="156"/>
      <c r="H12" s="90">
        <v>0.01</v>
      </c>
      <c r="I12" s="87">
        <v>1.4999999999999999E-2</v>
      </c>
      <c r="J12" s="87">
        <v>1.6E-2</v>
      </c>
      <c r="K12" s="87">
        <v>1.7000000000000001E-2</v>
      </c>
      <c r="L12" s="87">
        <v>1.9E-2</v>
      </c>
      <c r="M12" s="87">
        <v>0.02</v>
      </c>
      <c r="N12" s="87">
        <v>0.02</v>
      </c>
      <c r="O12" s="87">
        <v>0.02</v>
      </c>
      <c r="P12" s="88">
        <f>'[1]MEF format'!$S$13</f>
        <v>1.4999999999999999E-4</v>
      </c>
      <c r="Q12" s="89">
        <f>'[1]MEF format'!$T$13</f>
        <v>2.2499999999999999E-4</v>
      </c>
      <c r="R12" s="89">
        <v>2.9999999999999997E-4</v>
      </c>
      <c r="S12" s="89">
        <v>2.9999999999999997E-4</v>
      </c>
      <c r="T12" s="89">
        <v>2.9999999999999997E-4</v>
      </c>
      <c r="U12" s="89">
        <f>M12*D12</f>
        <v>2.9999999999999997E-4</v>
      </c>
      <c r="V12" s="91">
        <f>N12*D12</f>
        <v>2.9999999999999997E-4</v>
      </c>
      <c r="W12" s="91">
        <f>O12*D12</f>
        <v>2.9999999999999997E-4</v>
      </c>
      <c r="X12" s="107">
        <v>0.1</v>
      </c>
      <c r="Y12" s="92">
        <v>0.25</v>
      </c>
      <c r="Z12" s="92">
        <v>0.3</v>
      </c>
      <c r="AA12" s="92">
        <v>0.35</v>
      </c>
      <c r="AB12" s="93">
        <v>0.4</v>
      </c>
      <c r="AC12" s="93">
        <v>0.5</v>
      </c>
      <c r="AD12" s="117">
        <v>0.55000000000000004</v>
      </c>
      <c r="AE12" s="129">
        <v>0.6</v>
      </c>
    </row>
    <row r="13" spans="1:31" ht="54.95" customHeight="1">
      <c r="B13" s="128">
        <v>7</v>
      </c>
      <c r="C13" s="78" t="s">
        <v>81</v>
      </c>
      <c r="D13" s="147">
        <v>0.27</v>
      </c>
      <c r="E13" s="152"/>
      <c r="F13" s="159">
        <v>3.7900000000000003E-2</v>
      </c>
      <c r="G13" s="156"/>
      <c r="H13" s="90">
        <f t="shared" ref="H13:H19" si="3">P13/B13</f>
        <v>4.8541964285714285E-4</v>
      </c>
      <c r="I13" s="94">
        <f t="shared" ref="I13:I19" si="4">Q13/B13</f>
        <v>3.39672619047619E-3</v>
      </c>
      <c r="J13" s="94">
        <f t="shared" ref="J13:J19" si="5">R13/B13</f>
        <v>3.4642857142857149E-3</v>
      </c>
      <c r="K13" s="94">
        <f t="shared" ref="K13:K19" si="6">R13/D13</f>
        <v>8.981481481481482E-2</v>
      </c>
      <c r="L13" s="94">
        <f t="shared" ref="L13:L19" si="7">S13/D13</f>
        <v>8.9833333333333321E-2</v>
      </c>
      <c r="M13" s="94" t="e">
        <f t="shared" ref="M13:M19" si="8">T13/D13</f>
        <v>#REF!</v>
      </c>
      <c r="N13" s="94" t="e">
        <f t="shared" ref="N13:N19" si="9">U13/D13</f>
        <v>#REF!</v>
      </c>
      <c r="O13" s="94" t="e">
        <f t="shared" ref="O13:O19" si="10">V13/D13</f>
        <v>#REF!</v>
      </c>
      <c r="P13" s="88">
        <f>'OVER VIEW (Annex 2)'!N35/100</f>
        <v>3.3979374999999999E-3</v>
      </c>
      <c r="Q13" s="95">
        <f>'OVER VIEW (Annex 2)'!O35/100</f>
        <v>2.3777083333333331E-2</v>
      </c>
      <c r="R13" s="95">
        <f>'OVER VIEW (Annex 2)'!P35/100</f>
        <v>2.4250000000000004E-2</v>
      </c>
      <c r="S13" s="95">
        <f>'OVER VIEW (Annex 2)'!Q35/100</f>
        <v>2.4254999999999999E-2</v>
      </c>
      <c r="T13" s="95" t="e">
        <f>'OVER VIEW (Annex 2)'!R35/100</f>
        <v>#REF!</v>
      </c>
      <c r="U13" s="95" t="e">
        <f>'OVER VIEW (Annex 2)'!S35/100</f>
        <v>#REF!</v>
      </c>
      <c r="V13" s="95" t="e">
        <f>'OVER VIEW (Annex 2)'!T35/100</f>
        <v>#REF!</v>
      </c>
      <c r="W13" s="95" t="e">
        <f>'OVER VIEW (Annex 2)'!U35/100</f>
        <v>#REF!</v>
      </c>
      <c r="X13" s="108">
        <f>'OVER VIEW (Annex 2)'!V35/100</f>
        <v>2.2147500000000001E-2</v>
      </c>
      <c r="Y13" s="96">
        <f>'OVER VIEW (Annex 2)'!W35/100</f>
        <v>0.121517</v>
      </c>
      <c r="Z13" s="96">
        <f>'OVER VIEW (Annex 2)'!X35/100</f>
        <v>0.13028499999999998</v>
      </c>
      <c r="AA13" s="96">
        <f>'OVER VIEW (Annex 2)'!Y35/100</f>
        <v>0.130885</v>
      </c>
      <c r="AB13" s="89" t="e">
        <f>'OVER VIEW (Annex 2)'!Z35/100</f>
        <v>#REF!</v>
      </c>
      <c r="AC13" s="89" t="e">
        <f>'OVER VIEW (Annex 2)'!AA35/100</f>
        <v>#REF!</v>
      </c>
      <c r="AD13" s="89" t="e">
        <f>'OVER VIEW (Annex 2)'!AB35/100</f>
        <v>#REF!</v>
      </c>
      <c r="AE13" s="130" t="e">
        <f>'OVER VIEW (Annex 2)'!AC35/100</f>
        <v>#REF!</v>
      </c>
    </row>
    <row r="14" spans="1:31" ht="62.25" customHeight="1">
      <c r="A14" t="s">
        <v>4</v>
      </c>
      <c r="B14" s="128">
        <v>8</v>
      </c>
      <c r="C14" s="83" t="s">
        <v>92</v>
      </c>
      <c r="D14" s="147">
        <v>0.13500000000000001</v>
      </c>
      <c r="E14" s="152" t="s">
        <v>4</v>
      </c>
      <c r="F14" s="159">
        <v>1.2800000000000001E-2</v>
      </c>
      <c r="G14" s="156"/>
      <c r="H14" s="90">
        <f t="shared" si="3"/>
        <v>1.6138888888888887E-4</v>
      </c>
      <c r="I14" s="94">
        <f t="shared" si="4"/>
        <v>6.6262500000000002E-4</v>
      </c>
      <c r="J14" s="94">
        <f t="shared" si="5"/>
        <v>1.0527638888888887E-3</v>
      </c>
      <c r="K14" s="94">
        <f t="shared" si="6"/>
        <v>6.2386008230452657E-2</v>
      </c>
      <c r="L14" s="94">
        <f t="shared" si="7"/>
        <v>7.9226304526748975E-2</v>
      </c>
      <c r="M14" s="94" t="e">
        <f t="shared" si="8"/>
        <v>#REF!</v>
      </c>
      <c r="N14" s="94" t="e">
        <f t="shared" si="9"/>
        <v>#REF!</v>
      </c>
      <c r="O14" s="94" t="e">
        <f t="shared" si="10"/>
        <v>#REF!</v>
      </c>
      <c r="P14" s="88">
        <f>'OVER VIEW (Annex 2)'!N36/100</f>
        <v>1.2911111111111109E-3</v>
      </c>
      <c r="Q14" s="95">
        <f>'OVER VIEW (Annex 2)'!O36/100</f>
        <v>5.3010000000000002E-3</v>
      </c>
      <c r="R14" s="95">
        <f>'OVER VIEW (Annex 2)'!P36/100</f>
        <v>8.4221111111111094E-3</v>
      </c>
      <c r="S14" s="95">
        <f>'OVER VIEW (Annex 2)'!Q36/100</f>
        <v>1.0695551111111113E-2</v>
      </c>
      <c r="T14" s="95" t="e">
        <f>'OVER VIEW (Annex 2)'!R36/100</f>
        <v>#REF!</v>
      </c>
      <c r="U14" s="95" t="e">
        <f>'OVER VIEW (Annex 2)'!S36/100</f>
        <v>#REF!</v>
      </c>
      <c r="V14" s="95" t="e">
        <f>'OVER VIEW (Annex 2)'!T36/100</f>
        <v>#REF!</v>
      </c>
      <c r="W14" s="95" t="e">
        <f>'OVER VIEW (Annex 2)'!U36/100</f>
        <v>#REF!</v>
      </c>
      <c r="X14" s="86">
        <v>2.4400000000000002E-2</v>
      </c>
      <c r="Y14" s="89">
        <f>'OVER VIEW (Annex 2)'!W36/100</f>
        <v>0.11813888888888888</v>
      </c>
      <c r="Z14" s="89">
        <f>'OVER VIEW (Annex 2)'!X36/100</f>
        <v>0.17706234567901233</v>
      </c>
      <c r="AA14" s="89">
        <f>'OVER VIEW (Annex 2)'!Y36/100</f>
        <v>0.24023617283950621</v>
      </c>
      <c r="AB14" s="89" t="e">
        <f>'OVER VIEW (Annex 2)'!Z36/100</f>
        <v>#REF!</v>
      </c>
      <c r="AC14" s="89" t="e">
        <f>'OVER VIEW (Annex 2)'!AA36/100</f>
        <v>#REF!</v>
      </c>
      <c r="AD14" s="89" t="e">
        <f>'OVER VIEW (Annex 2)'!AB36/100</f>
        <v>#REF!</v>
      </c>
      <c r="AE14" s="130" t="e">
        <f>'OVER VIEW (Annex 2)'!AC36/100</f>
        <v>#REF!</v>
      </c>
    </row>
    <row r="15" spans="1:31" ht="54.95" customHeight="1">
      <c r="B15" s="128">
        <v>9</v>
      </c>
      <c r="C15" s="78" t="s">
        <v>93</v>
      </c>
      <c r="D15" s="147">
        <v>0.13500000000000001</v>
      </c>
      <c r="E15" s="152"/>
      <c r="F15" s="159">
        <v>1.8200000000000001E-2</v>
      </c>
      <c r="G15" s="156"/>
      <c r="H15" s="90">
        <f t="shared" si="3"/>
        <v>2.8478333333333331E-4</v>
      </c>
      <c r="I15" s="94">
        <f t="shared" si="4"/>
        <v>8.9738666666666677E-4</v>
      </c>
      <c r="J15" s="94">
        <f t="shared" si="5"/>
        <v>1.1412000000000002E-3</v>
      </c>
      <c r="K15" s="94">
        <f t="shared" si="6"/>
        <v>7.6080000000000009E-2</v>
      </c>
      <c r="L15" s="94">
        <f t="shared" si="7"/>
        <v>9.0088888888888871E-2</v>
      </c>
      <c r="M15" s="94" t="e">
        <f t="shared" si="8"/>
        <v>#REF!</v>
      </c>
      <c r="N15" s="94" t="e">
        <f t="shared" si="9"/>
        <v>#REF!</v>
      </c>
      <c r="O15" s="94" t="e">
        <f t="shared" si="10"/>
        <v>#REF!</v>
      </c>
      <c r="P15" s="88">
        <f>'OVER VIEW (Annex 2)'!N37/100</f>
        <v>2.5630499999999999E-3</v>
      </c>
      <c r="Q15" s="95">
        <f>'OVER VIEW (Annex 2)'!O37/100</f>
        <v>8.0764800000000005E-3</v>
      </c>
      <c r="R15" s="95">
        <f>'OVER VIEW (Annex 2)'!P37/100</f>
        <v>1.0270800000000002E-2</v>
      </c>
      <c r="S15" s="95">
        <f>'OVER VIEW (Annex 2)'!Q37/100</f>
        <v>1.2161999999999999E-2</v>
      </c>
      <c r="T15" s="95" t="e">
        <f>'OVER VIEW (Annex 2)'!R37/100</f>
        <v>#REF!</v>
      </c>
      <c r="U15" s="95" t="e">
        <f>'OVER VIEW (Annex 2)'!S37/100</f>
        <v>#REF!</v>
      </c>
      <c r="V15" s="95" t="e">
        <f>'OVER VIEW (Annex 2)'!T37/100</f>
        <v>#REF!</v>
      </c>
      <c r="W15" s="95" t="e">
        <f>'OVER VIEW (Annex 2)'!U37/100</f>
        <v>#REF!</v>
      </c>
      <c r="X15" s="108">
        <v>6.2899999999999998E-2</v>
      </c>
      <c r="Y15" s="96">
        <v>0.20899999999999999</v>
      </c>
      <c r="Z15" s="96">
        <v>0.27950000000000003</v>
      </c>
      <c r="AA15" s="96">
        <f>'OVER VIEW (Annex 2)'!Y37/100</f>
        <v>0.33139669627389295</v>
      </c>
      <c r="AB15" s="89" t="e">
        <f>'OVER VIEW (Annex 2)'!Z37/100</f>
        <v>#REF!</v>
      </c>
      <c r="AC15" s="89" t="e">
        <f>'OVER VIEW (Annex 2)'!AA37/100</f>
        <v>#REF!</v>
      </c>
      <c r="AD15" s="89" t="e">
        <f>'OVER VIEW (Annex 2)'!AB37/100</f>
        <v>#REF!</v>
      </c>
      <c r="AE15" s="130" t="e">
        <f>'OVER VIEW (Annex 2)'!AC37/100</f>
        <v>#REF!</v>
      </c>
    </row>
    <row r="16" spans="1:31" ht="54.95" customHeight="1">
      <c r="B16" s="128">
        <v>10</v>
      </c>
      <c r="C16" s="83" t="s">
        <v>153</v>
      </c>
      <c r="D16" s="147">
        <v>4.4999999999999998E-2</v>
      </c>
      <c r="E16" s="152"/>
      <c r="F16" s="159">
        <v>2.0000000000000001E-4</v>
      </c>
      <c r="G16" s="156"/>
      <c r="H16" s="90">
        <f t="shared" si="3"/>
        <v>0</v>
      </c>
      <c r="I16" s="94">
        <f t="shared" si="4"/>
        <v>1.7552083333333334E-5</v>
      </c>
      <c r="J16" s="94">
        <f t="shared" si="5"/>
        <v>3.7552083333333332E-5</v>
      </c>
      <c r="K16" s="94">
        <f t="shared" si="6"/>
        <v>8.3449074074074085E-3</v>
      </c>
      <c r="L16" s="94">
        <f t="shared" si="7"/>
        <v>8.3449074074074085E-3</v>
      </c>
      <c r="M16" s="94" t="e">
        <f t="shared" si="8"/>
        <v>#REF!</v>
      </c>
      <c r="N16" s="94" t="e">
        <f t="shared" si="9"/>
        <v>#REF!</v>
      </c>
      <c r="O16" s="94" t="e">
        <f t="shared" si="10"/>
        <v>#REF!</v>
      </c>
      <c r="P16" s="88">
        <f>'OVER VIEW (Annex 2)'!N38/100</f>
        <v>0</v>
      </c>
      <c r="Q16" s="95">
        <f>'OVER VIEW (Annex 2)'!O38/100</f>
        <v>1.7552083333333333E-4</v>
      </c>
      <c r="R16" s="95">
        <f>'OVER VIEW (Annex 2)'!P38/100</f>
        <v>3.7552083333333334E-4</v>
      </c>
      <c r="S16" s="95">
        <f>'OVER VIEW (Annex 2)'!Q38/100</f>
        <v>3.7552083333333334E-4</v>
      </c>
      <c r="T16" s="95" t="e">
        <f>'OVER VIEW (Annex 2)'!R38/100</f>
        <v>#REF!</v>
      </c>
      <c r="U16" s="95" t="e">
        <f>'OVER VIEW (Annex 2)'!S38/100</f>
        <v>#REF!</v>
      </c>
      <c r="V16" s="95" t="e">
        <f>'OVER VIEW (Annex 2)'!T38/100</f>
        <v>#REF!</v>
      </c>
      <c r="W16" s="95" t="e">
        <f>'OVER VIEW (Annex 2)'!U38/100</f>
        <v>#REF!</v>
      </c>
      <c r="X16" s="108">
        <v>0</v>
      </c>
      <c r="Y16" s="96">
        <v>0</v>
      </c>
      <c r="Z16" s="96">
        <v>7.0900000000000005E-2</v>
      </c>
      <c r="AA16" s="96">
        <v>7.0900000000000005E-2</v>
      </c>
      <c r="AB16" s="89" t="e">
        <f>'Output 1'!#REF!/100</f>
        <v>#REF!</v>
      </c>
      <c r="AC16" s="89" t="e">
        <f>'OVER VIEW (Annex 2)'!AA38/100</f>
        <v>#REF!</v>
      </c>
      <c r="AD16" s="89" t="e">
        <f>'OVER VIEW (Annex 2)'!AB38/100</f>
        <v>#REF!</v>
      </c>
      <c r="AE16" s="130" t="e">
        <f>'OVER VIEW (Annex 2)'!AC38/100</f>
        <v>#REF!</v>
      </c>
    </row>
    <row r="17" spans="2:31" ht="54.95" customHeight="1">
      <c r="B17" s="128">
        <v>11</v>
      </c>
      <c r="C17" s="78" t="s">
        <v>82</v>
      </c>
      <c r="D17" s="147">
        <v>0.126</v>
      </c>
      <c r="E17" s="152"/>
      <c r="F17" s="159">
        <v>2.23E-2</v>
      </c>
      <c r="G17" s="156"/>
      <c r="H17" s="90">
        <f t="shared" si="3"/>
        <v>7.6988636363636365E-4</v>
      </c>
      <c r="I17" s="94">
        <f t="shared" si="4"/>
        <v>1.2386363636363636E-3</v>
      </c>
      <c r="J17" s="94">
        <f t="shared" si="5"/>
        <v>1.2727272727272726E-3</v>
      </c>
      <c r="K17" s="94">
        <f t="shared" si="6"/>
        <v>0.1111111111111111</v>
      </c>
      <c r="L17" s="94" t="e">
        <f t="shared" si="7"/>
        <v>#REF!</v>
      </c>
      <c r="M17" s="94" t="e">
        <f t="shared" si="8"/>
        <v>#REF!</v>
      </c>
      <c r="N17" s="94" t="e">
        <f t="shared" si="9"/>
        <v>#REF!</v>
      </c>
      <c r="O17" s="94" t="e">
        <f t="shared" si="10"/>
        <v>#REF!</v>
      </c>
      <c r="P17" s="88">
        <f>'OVER VIEW (Annex 2)'!N40/100</f>
        <v>8.4687500000000006E-3</v>
      </c>
      <c r="Q17" s="95">
        <f>'OVER VIEW (Annex 2)'!O40/100</f>
        <v>1.3625E-2</v>
      </c>
      <c r="R17" s="95">
        <f>'OVER VIEW (Annex 2)'!P40/100</f>
        <v>1.3999999999999999E-2</v>
      </c>
      <c r="S17" s="95" t="e">
        <f>'OVER VIEW (Annex 2)'!Q40/100</f>
        <v>#REF!</v>
      </c>
      <c r="T17" s="95" t="e">
        <f>'OVER VIEW (Annex 2)'!R40/100</f>
        <v>#REF!</v>
      </c>
      <c r="U17" s="95" t="e">
        <f>'OVER VIEW (Annex 2)'!S40/100</f>
        <v>#REF!</v>
      </c>
      <c r="V17" s="95" t="e">
        <f>'OVER VIEW (Annex 2)'!T40/100</f>
        <v>#REF!</v>
      </c>
      <c r="W17" s="95" t="e">
        <f>'OVER VIEW (Annex 2)'!U40/100</f>
        <v>#REF!</v>
      </c>
      <c r="X17" s="108">
        <f>'OVER VIEW (Annex 2)'!V40/100</f>
        <v>7.9375000000000001E-2</v>
      </c>
      <c r="Y17" s="96">
        <f>'OVER VIEW (Annex 2)'!W40/100</f>
        <v>0.22875000000000001</v>
      </c>
      <c r="Z17" s="96" t="e">
        <f>'OVER VIEW (Annex 2)'!X40/100</f>
        <v>#REF!</v>
      </c>
      <c r="AA17" s="96">
        <f>'OVER VIEW (Annex 2)'!Y40/100</f>
        <v>0.41125</v>
      </c>
      <c r="AB17" s="93" t="e">
        <f>'OVER VIEW (Annex 2)'!Z40/100</f>
        <v>#REF!</v>
      </c>
      <c r="AC17" s="89" t="e">
        <f>'OVER VIEW (Annex 2)'!AA40/100</f>
        <v>#REF!</v>
      </c>
      <c r="AD17" s="89" t="e">
        <f>'OVER VIEW (Annex 2)'!AB40/100</f>
        <v>#REF!</v>
      </c>
      <c r="AE17" s="130" t="e">
        <f>'OVER VIEW (Annex 2)'!AC40/100</f>
        <v>#REF!</v>
      </c>
    </row>
    <row r="18" spans="2:31" ht="54.95" customHeight="1">
      <c r="B18" s="128">
        <v>12</v>
      </c>
      <c r="C18" s="83" t="s">
        <v>94</v>
      </c>
      <c r="D18" s="147">
        <v>5.3999999999999999E-2</v>
      </c>
      <c r="E18" s="152"/>
      <c r="F18" s="159">
        <v>6.4000000000000003E-3</v>
      </c>
      <c r="G18" s="156"/>
      <c r="H18" s="90">
        <f t="shared" si="3"/>
        <v>3.4027777777777782E-5</v>
      </c>
      <c r="I18" s="94">
        <f t="shared" si="4"/>
        <v>6.7304000000000007E-4</v>
      </c>
      <c r="J18" s="94" t="e">
        <f t="shared" si="5"/>
        <v>#REF!</v>
      </c>
      <c r="K18" s="94" t="e">
        <f t="shared" si="6"/>
        <v>#REF!</v>
      </c>
      <c r="L18" s="94" t="e">
        <f t="shared" si="7"/>
        <v>#REF!</v>
      </c>
      <c r="M18" s="94" t="e">
        <f t="shared" si="8"/>
        <v>#REF!</v>
      </c>
      <c r="N18" s="94" t="e">
        <f t="shared" si="9"/>
        <v>#REF!</v>
      </c>
      <c r="O18" s="94" t="e">
        <f t="shared" si="10"/>
        <v>#REF!</v>
      </c>
      <c r="P18" s="88">
        <f>'OVER VIEW (Annex 2)'!N41/100</f>
        <v>4.0833333333333341E-4</v>
      </c>
      <c r="Q18" s="95">
        <f>'OVER VIEW (Annex 2)'!O10/100</f>
        <v>8.0764800000000005E-3</v>
      </c>
      <c r="R18" s="95" t="e">
        <f>'OVER VIEW (Annex 2)'!P41/100</f>
        <v>#REF!</v>
      </c>
      <c r="S18" s="95" t="e">
        <f>'OVER VIEW (Annex 2)'!Q41/100</f>
        <v>#REF!</v>
      </c>
      <c r="T18" s="95" t="e">
        <f>'OVER VIEW (Annex 2)'!R41/100</f>
        <v>#REF!</v>
      </c>
      <c r="U18" s="95" t="e">
        <f>'OVER VIEW (Annex 2)'!S41/100</f>
        <v>#REF!</v>
      </c>
      <c r="V18" s="95" t="e">
        <f>'OVER VIEW (Annex 2)'!T41/100</f>
        <v>#REF!</v>
      </c>
      <c r="W18" s="95" t="e">
        <f>'OVER VIEW (Annex 2)'!U41/100</f>
        <v>#REF!</v>
      </c>
      <c r="X18" s="108">
        <f>'OVER VIEW (Annex 2)'!V41/100</f>
        <v>6.2E-2</v>
      </c>
      <c r="Y18" s="96">
        <f>'OVER VIEW (Annex 2)'!W41/100</f>
        <v>0.05</v>
      </c>
      <c r="Z18" s="96">
        <f>'OVER VIEW (Annex 2)'!X41/100</f>
        <v>5.5E-2</v>
      </c>
      <c r="AA18" s="96" t="e">
        <f>'OVER VIEW (Annex 2)'!Y41/100</f>
        <v>#REF!</v>
      </c>
      <c r="AB18" s="89" t="e">
        <f>'OVER VIEW (Annex 2)'!Z41/100</f>
        <v>#REF!</v>
      </c>
      <c r="AC18" s="89" t="e">
        <f>'OVER VIEW (Annex 2)'!AA41/100</f>
        <v>#REF!</v>
      </c>
      <c r="AD18" s="89" t="e">
        <f>'OVER VIEW (Annex 2)'!AB41/100</f>
        <v>#REF!</v>
      </c>
      <c r="AE18" s="130" t="e">
        <f>'OVER VIEW (Annex 2)'!AC41/100</f>
        <v>#REF!</v>
      </c>
    </row>
    <row r="19" spans="2:31" ht="54.95" customHeight="1" thickBot="1">
      <c r="B19" s="131">
        <v>13</v>
      </c>
      <c r="C19" s="79" t="s">
        <v>83</v>
      </c>
      <c r="D19" s="148">
        <v>0.13500000000000001</v>
      </c>
      <c r="E19" s="152"/>
      <c r="F19" s="160">
        <v>2.87E-2</v>
      </c>
      <c r="G19" s="156"/>
      <c r="H19" s="90">
        <f t="shared" si="3"/>
        <v>6.8285256410256421E-4</v>
      </c>
      <c r="I19" s="94">
        <f t="shared" si="4"/>
        <v>1.1976495726495726E-3</v>
      </c>
      <c r="J19" s="94" t="e">
        <f t="shared" si="5"/>
        <v>#REF!</v>
      </c>
      <c r="K19" s="94" t="e">
        <f t="shared" si="6"/>
        <v>#REF!</v>
      </c>
      <c r="L19" s="94" t="e">
        <f t="shared" si="7"/>
        <v>#REF!</v>
      </c>
      <c r="M19" s="94" t="e">
        <f t="shared" si="8"/>
        <v>#REF!</v>
      </c>
      <c r="N19" s="94" t="e">
        <f t="shared" si="9"/>
        <v>#REF!</v>
      </c>
      <c r="O19" s="94" t="e">
        <f t="shared" si="10"/>
        <v>#REF!</v>
      </c>
      <c r="P19" s="88">
        <f>'OVER VIEW (Annex 2)'!N42/100</f>
        <v>8.877083333333334E-3</v>
      </c>
      <c r="Q19" s="95">
        <f>'OVER VIEW (Annex 2)'!O42/100</f>
        <v>1.5569444444444445E-2</v>
      </c>
      <c r="R19" s="95" t="e">
        <f>'OVER VIEW (Annex 2)'!P42/100</f>
        <v>#REF!</v>
      </c>
      <c r="S19" s="95" t="e">
        <f>'OVER VIEW (Annex 2)'!Q42/100</f>
        <v>#REF!</v>
      </c>
      <c r="T19" s="95" t="e">
        <f>'OVER VIEW (Annex 2)'!R42/100</f>
        <v>#REF!</v>
      </c>
      <c r="U19" s="95" t="e">
        <f>'OVER VIEW (Annex 2)'!S42/100</f>
        <v>#REF!</v>
      </c>
      <c r="V19" s="95" t="e">
        <f>'OVER VIEW (Annex 2)'!T42/100</f>
        <v>#REF!</v>
      </c>
      <c r="W19" s="95" t="e">
        <f>'OVER VIEW (Annex 2)'!U42/100</f>
        <v>#REF!</v>
      </c>
      <c r="X19" s="86" t="e">
        <f>'OVER VIEW (Annex 2)'!V43/100</f>
        <v>#REF!</v>
      </c>
      <c r="Y19" s="89" t="e">
        <f>'OVER VIEW (Annex 2)'!W43/100</f>
        <v>#REF!</v>
      </c>
      <c r="Z19" s="89" t="e">
        <f>'OVER VIEW (Annex 2)'!X43/100</f>
        <v>#REF!</v>
      </c>
      <c r="AA19" s="89" t="e">
        <f>'OVER VIEW (Annex 2)'!Y43/100</f>
        <v>#REF!</v>
      </c>
      <c r="AB19" s="89" t="e">
        <f>'OVER VIEW (Annex 2)'!Z43/100</f>
        <v>#REF!</v>
      </c>
      <c r="AC19" s="89" t="e">
        <f>'OVER VIEW (Annex 2)'!AA43/100</f>
        <v>#REF!</v>
      </c>
      <c r="AD19" s="89" t="e">
        <f>'OVER VIEW (Annex 2)'!AB43/100</f>
        <v>#REF!</v>
      </c>
      <c r="AE19" s="130" t="e">
        <f>'OVER VIEW (Annex 2)'!AC43/100</f>
        <v>#REF!</v>
      </c>
    </row>
    <row r="20" spans="2:31" ht="54.95" customHeight="1" thickBot="1">
      <c r="B20" s="132" t="s">
        <v>4</v>
      </c>
      <c r="C20" s="133" t="s">
        <v>96</v>
      </c>
      <c r="D20" s="149">
        <f>SUM(D7:D19)</f>
        <v>1</v>
      </c>
      <c r="E20" s="153"/>
      <c r="F20" s="161">
        <f>SUM(F7:F19)</f>
        <v>0.14389000000000002</v>
      </c>
      <c r="G20" s="157"/>
      <c r="H20" s="134"/>
      <c r="I20" s="135"/>
      <c r="J20" s="135"/>
      <c r="K20" s="135"/>
      <c r="L20" s="135"/>
      <c r="M20" s="135"/>
      <c r="N20" s="144"/>
      <c r="O20" s="136"/>
      <c r="P20" s="137">
        <f>SUM(P7:P19)</f>
        <v>3.483126527777778E-2</v>
      </c>
      <c r="Q20" s="135">
        <f>'OVER VIEW (Annex 2)'!O44/100</f>
        <v>5.5687028611111113E-2</v>
      </c>
      <c r="R20" s="135" t="e">
        <f>'OVER VIEW (Annex 2)'!P44/100</f>
        <v>#REF!</v>
      </c>
      <c r="S20" s="135" t="e">
        <f>--'OVER VIEW (Annex 2)'!Q44/100</f>
        <v>#REF!</v>
      </c>
      <c r="T20" s="135" t="e">
        <f>'OVER VIEW (Annex 2)'!R44/100</f>
        <v>#REF!</v>
      </c>
      <c r="U20" s="135" t="e">
        <f>'OVER VIEW (Annex 2)'!S44/100</f>
        <v>#REF!</v>
      </c>
      <c r="V20" s="135" t="e">
        <f>'OVER VIEW (Annex 2)'!T44/100</f>
        <v>#REF!</v>
      </c>
      <c r="W20" s="135" t="e">
        <f>'OVER VIEW (Annex 2)'!U44/100</f>
        <v>#REF!</v>
      </c>
      <c r="X20" s="138" t="e">
        <f t="shared" ref="X20:AC20" si="11">SUM(X9:X19)/11</f>
        <v>#REF!</v>
      </c>
      <c r="Y20" s="135" t="e">
        <f t="shared" si="11"/>
        <v>#REF!</v>
      </c>
      <c r="Z20" s="135" t="e">
        <f t="shared" si="11"/>
        <v>#REF!</v>
      </c>
      <c r="AA20" s="135" t="e">
        <f t="shared" si="11"/>
        <v>#REF!</v>
      </c>
      <c r="AB20" s="135" t="e">
        <f t="shared" si="11"/>
        <v>#REF!</v>
      </c>
      <c r="AC20" s="135" t="e">
        <f t="shared" si="11"/>
        <v>#REF!</v>
      </c>
      <c r="AD20" s="135" t="e">
        <f t="shared" ref="AD20:AE20" si="12">SUM(AD9:AD19)/11</f>
        <v>#REF!</v>
      </c>
      <c r="AE20" s="139" t="e">
        <f t="shared" si="12"/>
        <v>#REF!</v>
      </c>
    </row>
    <row r="21" spans="2:31" s="3" customFormat="1" ht="52.5" customHeight="1" thickTop="1">
      <c r="B21" s="80"/>
      <c r="C21" s="81"/>
      <c r="D21" s="82"/>
      <c r="E21" s="6"/>
      <c r="F21" s="6"/>
      <c r="G21" s="6"/>
      <c r="H21" s="7"/>
      <c r="I21" s="8" t="s">
        <v>4</v>
      </c>
      <c r="S21" s="3" t="s">
        <v>4</v>
      </c>
      <c r="T21" s="3" t="s">
        <v>4</v>
      </c>
      <c r="X21" s="3" t="s">
        <v>4</v>
      </c>
      <c r="Y21" s="3" t="s">
        <v>4</v>
      </c>
      <c r="AA21" s="17" t="s">
        <v>4</v>
      </c>
    </row>
  </sheetData>
  <mergeCells count="8">
    <mergeCell ref="X7:AE8"/>
    <mergeCell ref="C1:AB1"/>
    <mergeCell ref="B5:C6"/>
    <mergeCell ref="D5:D6"/>
    <mergeCell ref="X5:AE5"/>
    <mergeCell ref="H5:O5"/>
    <mergeCell ref="P5:W5"/>
    <mergeCell ref="F5:F6"/>
  </mergeCells>
  <printOptions verticalCentered="1"/>
  <pageMargins left="0.7" right="0.7" top="1" bottom="1" header="1.05" footer="1.05"/>
  <pageSetup paperSize="8" scale="53" orientation="landscape" r:id="rId1"/>
  <headerFooter>
    <oddHeader xml:space="preserve">&amp;LCFAVC Annual Report 2020&amp;CPHYSICAL PROGRESS
 DMF FORMAT&amp;RAnnex 1.1 </oddHeader>
    <oddFooter>&amp;LAESA &amp; SBK</oddFooter>
  </headerFooter>
  <rowBreaks count="2" manualBreakCount="2">
    <brk id="4" max="16383" man="1"/>
    <brk id="11" max="16383" man="1"/>
  </rowBreaks>
  <colBreaks count="3" manualBreakCount="3">
    <brk id="1" max="1048575" man="1"/>
    <brk id="4" max="1048575" man="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48"/>
  <sheetViews>
    <sheetView workbookViewId="0">
      <selection activeCell="C13" sqref="C13"/>
    </sheetView>
  </sheetViews>
  <sheetFormatPr defaultRowHeight="15"/>
  <cols>
    <col min="2" max="2" width="6.5703125" customWidth="1"/>
    <col min="3" max="3" width="93.85546875" customWidth="1"/>
    <col min="4" max="4" width="11.42578125" customWidth="1"/>
    <col min="5" max="5" width="9.42578125" style="4" customWidth="1"/>
    <col min="6" max="9" width="10.7109375" customWidth="1"/>
    <col min="10" max="13" width="10.7109375" style="4" customWidth="1"/>
    <col min="14" max="17" width="10.7109375" customWidth="1"/>
    <col min="18" max="21" width="10.7109375" style="4" customWidth="1"/>
    <col min="22" max="25" width="10.7109375" customWidth="1"/>
    <col min="26" max="27" width="10.7109375" style="4" customWidth="1"/>
  </cols>
  <sheetData>
    <row r="1" spans="1:37">
      <c r="A1" s="4"/>
      <c r="B1" s="4"/>
      <c r="C1" s="4"/>
      <c r="D1" s="4"/>
      <c r="F1" s="4"/>
      <c r="G1" s="4"/>
      <c r="H1" s="4"/>
      <c r="I1" s="4"/>
      <c r="N1" s="4"/>
      <c r="O1" s="4"/>
      <c r="P1" s="4"/>
      <c r="Q1" s="4"/>
      <c r="V1" s="4"/>
      <c r="W1" s="4"/>
      <c r="X1" s="4"/>
      <c r="Y1" s="4"/>
    </row>
    <row r="2" spans="1:37" ht="18">
      <c r="A2" s="4"/>
      <c r="B2" s="4"/>
      <c r="C2" s="1491" t="s">
        <v>95</v>
      </c>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31"/>
    </row>
    <row r="3" spans="1:37" ht="15.75" thickBot="1">
      <c r="A3" s="4"/>
      <c r="B3" s="4"/>
      <c r="C3" s="4"/>
      <c r="D3" s="4"/>
      <c r="F3" s="4"/>
      <c r="G3" s="4"/>
      <c r="H3" s="4"/>
      <c r="I3" s="4"/>
      <c r="N3" s="4"/>
      <c r="O3" s="4"/>
      <c r="P3" s="4"/>
      <c r="Q3" s="4"/>
      <c r="V3" s="4"/>
      <c r="W3" s="4"/>
      <c r="X3" s="4"/>
      <c r="Y3" s="4"/>
    </row>
    <row r="4" spans="1:37" ht="16.5" customHeight="1" thickTop="1">
      <c r="A4" s="4"/>
      <c r="B4" s="1522" t="s">
        <v>3</v>
      </c>
      <c r="C4" s="1523"/>
      <c r="D4" s="1526" t="s">
        <v>40</v>
      </c>
      <c r="E4" s="1535" t="s">
        <v>159</v>
      </c>
      <c r="F4" s="1506" t="s">
        <v>161</v>
      </c>
      <c r="G4" s="1507"/>
      <c r="H4" s="1507"/>
      <c r="I4" s="1507"/>
      <c r="J4" s="1507"/>
      <c r="K4" s="1507"/>
      <c r="L4" s="1507"/>
      <c r="M4" s="1531"/>
      <c r="N4" s="1506" t="s">
        <v>162</v>
      </c>
      <c r="O4" s="1507"/>
      <c r="P4" s="1507"/>
      <c r="Q4" s="1507"/>
      <c r="R4" s="1507"/>
      <c r="S4" s="1507"/>
      <c r="T4" s="1507"/>
      <c r="U4" s="1531"/>
      <c r="V4" s="1506" t="s">
        <v>163</v>
      </c>
      <c r="W4" s="1507"/>
      <c r="X4" s="1507"/>
      <c r="Y4" s="1507"/>
      <c r="Z4" s="1507"/>
      <c r="AA4" s="1507"/>
      <c r="AB4" s="1507"/>
      <c r="AC4" s="1508"/>
      <c r="AD4" s="1506" t="s">
        <v>164</v>
      </c>
      <c r="AE4" s="1507"/>
      <c r="AF4" s="1507"/>
      <c r="AG4" s="1507"/>
      <c r="AH4" s="1507"/>
      <c r="AI4" s="1507"/>
      <c r="AJ4" s="1507"/>
      <c r="AK4" s="1508"/>
    </row>
    <row r="5" spans="1:37" ht="15.75" customHeight="1">
      <c r="A5" s="4"/>
      <c r="B5" s="1524"/>
      <c r="C5" s="1525"/>
      <c r="D5" s="1527"/>
      <c r="E5" s="1536"/>
      <c r="F5" s="1509"/>
      <c r="G5" s="1510"/>
      <c r="H5" s="1510"/>
      <c r="I5" s="1510"/>
      <c r="J5" s="1510"/>
      <c r="K5" s="1510"/>
      <c r="L5" s="1510"/>
      <c r="M5" s="1532"/>
      <c r="N5" s="1509"/>
      <c r="O5" s="1510"/>
      <c r="P5" s="1510"/>
      <c r="Q5" s="1510"/>
      <c r="R5" s="1510"/>
      <c r="S5" s="1510"/>
      <c r="T5" s="1510"/>
      <c r="U5" s="1532"/>
      <c r="V5" s="1509"/>
      <c r="W5" s="1510"/>
      <c r="X5" s="1510"/>
      <c r="Y5" s="1510"/>
      <c r="Z5" s="1510"/>
      <c r="AA5" s="1510"/>
      <c r="AB5" s="1510"/>
      <c r="AC5" s="1511"/>
      <c r="AD5" s="1509"/>
      <c r="AE5" s="1510"/>
      <c r="AF5" s="1510"/>
      <c r="AG5" s="1510"/>
      <c r="AH5" s="1510"/>
      <c r="AI5" s="1510"/>
      <c r="AJ5" s="1510"/>
      <c r="AK5" s="1511"/>
    </row>
    <row r="6" spans="1:37">
      <c r="A6" s="4"/>
      <c r="B6" s="1524"/>
      <c r="C6" s="1525"/>
      <c r="D6" s="1528"/>
      <c r="E6" s="1537"/>
      <c r="F6" s="38" t="s">
        <v>15</v>
      </c>
      <c r="G6" s="34" t="s">
        <v>16</v>
      </c>
      <c r="H6" s="18" t="s">
        <v>112</v>
      </c>
      <c r="I6" s="34" t="s">
        <v>145</v>
      </c>
      <c r="J6" s="34" t="s">
        <v>146</v>
      </c>
      <c r="K6" s="34" t="s">
        <v>149</v>
      </c>
      <c r="L6" s="46" t="s">
        <v>156</v>
      </c>
      <c r="M6" s="118" t="s">
        <v>157</v>
      </c>
      <c r="N6" s="42" t="s">
        <v>15</v>
      </c>
      <c r="O6" s="34" t="s">
        <v>16</v>
      </c>
      <c r="P6" s="18" t="s">
        <v>112</v>
      </c>
      <c r="Q6" s="34" t="s">
        <v>145</v>
      </c>
      <c r="R6" s="34" t="s">
        <v>146</v>
      </c>
      <c r="S6" s="35" t="s">
        <v>149</v>
      </c>
      <c r="T6" s="46" t="s">
        <v>155</v>
      </c>
      <c r="U6" s="118" t="s">
        <v>157</v>
      </c>
      <c r="V6" s="38" t="s">
        <v>15</v>
      </c>
      <c r="W6" s="34" t="s">
        <v>16</v>
      </c>
      <c r="X6" s="18" t="s">
        <v>112</v>
      </c>
      <c r="Y6" s="34" t="s">
        <v>145</v>
      </c>
      <c r="Z6" s="34" t="s">
        <v>148</v>
      </c>
      <c r="AA6" s="34" t="s">
        <v>149</v>
      </c>
      <c r="AB6" s="119" t="s">
        <v>155</v>
      </c>
      <c r="AC6" s="109" t="s">
        <v>157</v>
      </c>
      <c r="AD6" s="38" t="s">
        <v>15</v>
      </c>
      <c r="AE6" s="34" t="s">
        <v>16</v>
      </c>
      <c r="AF6" s="18" t="s">
        <v>112</v>
      </c>
      <c r="AG6" s="34" t="s">
        <v>145</v>
      </c>
      <c r="AH6" s="34" t="s">
        <v>148</v>
      </c>
      <c r="AI6" s="34" t="s">
        <v>149</v>
      </c>
      <c r="AJ6" s="119" t="s">
        <v>155</v>
      </c>
      <c r="AK6" s="109" t="s">
        <v>157</v>
      </c>
    </row>
    <row r="7" spans="1:37" ht="28.5" customHeight="1">
      <c r="A7" s="4"/>
      <c r="B7" s="1512" t="s">
        <v>0</v>
      </c>
      <c r="C7" s="1513"/>
      <c r="D7" s="1513"/>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c r="AH7" s="1513"/>
      <c r="AI7" s="1513"/>
      <c r="AJ7" s="1513"/>
      <c r="AK7" s="1513"/>
    </row>
    <row r="8" spans="1:37" ht="24.95" customHeight="1">
      <c r="A8" s="4"/>
      <c r="B8" s="19" t="s">
        <v>19</v>
      </c>
      <c r="C8" s="20" t="s">
        <v>55</v>
      </c>
      <c r="D8" s="41">
        <v>15</v>
      </c>
      <c r="E8" s="41">
        <v>1.508</v>
      </c>
      <c r="F8" s="47">
        <f>'[2]Annex 3 (Output 1)'!N14</f>
        <v>0.8607407407407407</v>
      </c>
      <c r="G8" s="22">
        <f>'[2]Annex 3 (Output 1)'!S14</f>
        <v>3.5340000000000003</v>
      </c>
      <c r="H8" s="21">
        <f>'[2]Annex 3 (Output 1)'!X14</f>
        <v>5.6147407407407401</v>
      </c>
      <c r="I8" s="23">
        <f>'[2]Annex 3 (Output 1)'!AC14</f>
        <v>7.1303674074074079</v>
      </c>
      <c r="J8" s="23" t="e">
        <f>'Output 1'!#REF!</f>
        <v>#REF!</v>
      </c>
      <c r="K8" s="23" t="e">
        <f>'Output 1'!#REF!</f>
        <v>#REF!</v>
      </c>
      <c r="L8" s="120" t="e">
        <f>'Output 1'!#REF!</f>
        <v>#REF!</v>
      </c>
      <c r="M8" s="48" t="e">
        <f>'Output 1'!#REF!</f>
        <v>#REF!</v>
      </c>
      <c r="N8" s="43">
        <f t="shared" ref="N8:U9" si="0">(F8*$D8)/100</f>
        <v>0.12911111111111109</v>
      </c>
      <c r="O8" s="24">
        <f t="shared" si="0"/>
        <v>0.53010000000000002</v>
      </c>
      <c r="P8" s="24">
        <f t="shared" si="0"/>
        <v>0.84221111111111102</v>
      </c>
      <c r="Q8" s="24">
        <f t="shared" si="0"/>
        <v>1.0695551111111112</v>
      </c>
      <c r="R8" s="24" t="e">
        <f t="shared" si="0"/>
        <v>#REF!</v>
      </c>
      <c r="S8" s="24" t="e">
        <f t="shared" si="0"/>
        <v>#REF!</v>
      </c>
      <c r="T8" s="24" t="e">
        <f t="shared" si="0"/>
        <v>#REF!</v>
      </c>
      <c r="U8" s="24" t="e">
        <f t="shared" si="0"/>
        <v>#REF!</v>
      </c>
      <c r="V8" s="114">
        <f>'[2]Annex 3 (Output 1)'!M14</f>
        <v>2.4444444444444446</v>
      </c>
      <c r="W8" s="115">
        <f>'[2]Annex 3 (Output 1)'!R14</f>
        <v>11.813888888888888</v>
      </c>
      <c r="X8" s="115">
        <f>'[2]Annex 3 (Output 1)'!W14</f>
        <v>17.706234567901234</v>
      </c>
      <c r="Y8" s="115">
        <f>'[2]Annex 3 (Output 1)'!AB14</f>
        <v>24.023617283950621</v>
      </c>
      <c r="Z8" s="115" t="e">
        <f>'Output 1'!#REF!</f>
        <v>#REF!</v>
      </c>
      <c r="AA8" s="115" t="e">
        <f>'Output 1'!#REF!</f>
        <v>#REF!</v>
      </c>
      <c r="AB8" s="121" t="e">
        <f>'Output 1'!#REF!</f>
        <v>#REF!</v>
      </c>
      <c r="AC8" s="162" t="e">
        <f>'Output 1'!#REF!</f>
        <v>#REF!</v>
      </c>
      <c r="AD8" s="163"/>
      <c r="AE8" s="119"/>
      <c r="AF8" s="119"/>
      <c r="AG8" s="119"/>
      <c r="AH8" s="119"/>
      <c r="AI8" s="119"/>
      <c r="AJ8" s="119"/>
      <c r="AK8" s="109"/>
    </row>
    <row r="9" spans="1:37" ht="24.95" customHeight="1">
      <c r="A9" s="4"/>
      <c r="B9" s="19" t="s">
        <v>20</v>
      </c>
      <c r="C9" s="20" t="s">
        <v>110</v>
      </c>
      <c r="D9" s="41">
        <v>5</v>
      </c>
      <c r="E9" s="41">
        <v>0.20699999999999999</v>
      </c>
      <c r="F9" s="47">
        <f>'[2]Annex 3 (Output 1)'!N20</f>
        <v>0</v>
      </c>
      <c r="G9" s="22">
        <f>'[2]Annex 3 (Output 1)'!S20</f>
        <v>0.35104166666666664</v>
      </c>
      <c r="H9" s="21">
        <f>'[2]Annex 3 (Output 1)'!X20</f>
        <v>0.75104166666666672</v>
      </c>
      <c r="I9" s="23">
        <f>'[2]Annex 3 (Output 1)'!AC20</f>
        <v>0.75104166666666672</v>
      </c>
      <c r="J9" s="23" t="e">
        <f>'Output 1'!#REF!</f>
        <v>#REF!</v>
      </c>
      <c r="K9" s="23" t="e">
        <f>'Output 1'!#REF!</f>
        <v>#REF!</v>
      </c>
      <c r="L9" s="120" t="e">
        <f>'Output 1'!#REF!</f>
        <v>#REF!</v>
      </c>
      <c r="M9" s="48" t="e">
        <f>'Output 1'!#REF!</f>
        <v>#REF!</v>
      </c>
      <c r="N9" s="43">
        <f t="shared" si="0"/>
        <v>0</v>
      </c>
      <c r="O9" s="24">
        <f t="shared" si="0"/>
        <v>1.7552083333333333E-2</v>
      </c>
      <c r="P9" s="24">
        <f t="shared" si="0"/>
        <v>3.7552083333333333E-2</v>
      </c>
      <c r="Q9" s="24">
        <f t="shared" si="0"/>
        <v>3.7552083333333333E-2</v>
      </c>
      <c r="R9" s="24" t="e">
        <f t="shared" si="0"/>
        <v>#REF!</v>
      </c>
      <c r="S9" s="24" t="e">
        <f t="shared" si="0"/>
        <v>#REF!</v>
      </c>
      <c r="T9" s="24" t="e">
        <f t="shared" si="0"/>
        <v>#REF!</v>
      </c>
      <c r="U9" s="24" t="e">
        <f t="shared" si="0"/>
        <v>#REF!</v>
      </c>
      <c r="V9" s="114">
        <f>'[2]Annex 3 (Output 1)'!M20</f>
        <v>0</v>
      </c>
      <c r="W9" s="115">
        <f>'[2]Annex 3 (Output 1)'!R20</f>
        <v>3.34375</v>
      </c>
      <c r="X9" s="115">
        <f>'[2]Annex 3 (Output 1)'!W20</f>
        <v>7.09375</v>
      </c>
      <c r="Y9" s="115">
        <f>'[2]Annex 3 (Output 1)'!AB20</f>
        <v>7.09375</v>
      </c>
      <c r="Z9" s="115" t="e">
        <f>'Output 1'!#REF!</f>
        <v>#REF!</v>
      </c>
      <c r="AA9" s="115" t="e">
        <f>'Output 1'!#REF!</f>
        <v>#REF!</v>
      </c>
      <c r="AB9" s="121" t="e">
        <f>'Output 1'!#REF!</f>
        <v>#REF!</v>
      </c>
      <c r="AC9" s="162" t="e">
        <f>'Output 1'!#REF!</f>
        <v>#REF!</v>
      </c>
      <c r="AD9" s="163"/>
      <c r="AE9" s="119"/>
      <c r="AF9" s="119"/>
      <c r="AG9" s="119"/>
      <c r="AH9" s="119"/>
      <c r="AI9" s="119"/>
      <c r="AJ9" s="119"/>
      <c r="AK9" s="109"/>
    </row>
    <row r="10" spans="1:37" ht="27.75" customHeight="1">
      <c r="A10" s="4"/>
      <c r="B10" s="19" t="s">
        <v>21</v>
      </c>
      <c r="C10" s="28" t="s">
        <v>56</v>
      </c>
      <c r="D10" s="41">
        <v>15</v>
      </c>
      <c r="E10" s="41">
        <v>2.1070000000000002</v>
      </c>
      <c r="F10" s="47">
        <f>'[2]Annex 3 (Output 1)'!N27</f>
        <v>1.7086999999999999</v>
      </c>
      <c r="G10" s="22">
        <f>'[2]Annex 3 (Output 1)'!S27</f>
        <v>5.3843200000000007</v>
      </c>
      <c r="H10" s="21">
        <f>'[2]Annex 3 (Output 1)'!X27</f>
        <v>6.8472000000000008</v>
      </c>
      <c r="I10" s="23">
        <f>'[2]Annex 3 (Output 1)'!AC27</f>
        <v>8.1080000000000005</v>
      </c>
      <c r="J10" s="23" t="e">
        <f>'Output 1'!#REF!</f>
        <v>#REF!</v>
      </c>
      <c r="K10" s="23" t="e">
        <f>'Output 1'!#REF!</f>
        <v>#REF!</v>
      </c>
      <c r="L10" s="120" t="e">
        <f>'Output 1'!#REF!</f>
        <v>#REF!</v>
      </c>
      <c r="M10" s="48" t="e">
        <f>'Output 1'!#REF!</f>
        <v>#REF!</v>
      </c>
      <c r="N10" s="43">
        <f t="shared" ref="N10:N14" si="1">(F10*$D10)/100</f>
        <v>0.25630500000000001</v>
      </c>
      <c r="O10" s="24">
        <f t="shared" ref="O10:U14" si="2">(G10*$D10)/100</f>
        <v>0.80764800000000003</v>
      </c>
      <c r="P10" s="24">
        <f t="shared" si="2"/>
        <v>1.0270800000000002</v>
      </c>
      <c r="Q10" s="24">
        <f t="shared" si="2"/>
        <v>1.2161999999999999</v>
      </c>
      <c r="R10" s="24" t="e">
        <f t="shared" si="2"/>
        <v>#REF!</v>
      </c>
      <c r="S10" s="24" t="e">
        <f t="shared" si="2"/>
        <v>#REF!</v>
      </c>
      <c r="T10" s="24" t="e">
        <f t="shared" si="2"/>
        <v>#REF!</v>
      </c>
      <c r="U10" s="24" t="e">
        <f t="shared" si="2"/>
        <v>#REF!</v>
      </c>
      <c r="V10" s="114">
        <f>'[2]Annex 3 (Output 1)'!M27</f>
        <v>6.286607799852832</v>
      </c>
      <c r="W10" s="115">
        <f>'[2]Annex 3 (Output 1)'!R27</f>
        <v>20.903142508676478</v>
      </c>
      <c r="X10" s="115">
        <f>'[2]Annex 3 (Output 1)'!W27</f>
        <v>27.9494794111001</v>
      </c>
      <c r="Y10" s="115">
        <f>'[2]Annex 3 (Output 1)'!AB27</f>
        <v>33.139669627389296</v>
      </c>
      <c r="Z10" s="115" t="e">
        <f>'Output 1'!#REF!</f>
        <v>#REF!</v>
      </c>
      <c r="AA10" s="115" t="e">
        <f>'Output 1'!#REF!</f>
        <v>#REF!</v>
      </c>
      <c r="AB10" s="121" t="e">
        <f>'Output 1'!#REF!</f>
        <v>#REF!</v>
      </c>
      <c r="AC10" s="162" t="e">
        <f>'Output 1'!#REF!</f>
        <v>#REF!</v>
      </c>
      <c r="AD10" s="163"/>
      <c r="AE10" s="119"/>
      <c r="AF10" s="119"/>
      <c r="AG10" s="119"/>
      <c r="AH10" s="119"/>
      <c r="AI10" s="119"/>
      <c r="AJ10" s="119"/>
      <c r="AK10" s="109"/>
    </row>
    <row r="11" spans="1:37" ht="33" customHeight="1">
      <c r="A11" s="4"/>
      <c r="B11" s="19" t="s">
        <v>22</v>
      </c>
      <c r="C11" s="28" t="s">
        <v>57</v>
      </c>
      <c r="D11" s="41">
        <v>15</v>
      </c>
      <c r="E11" s="41">
        <v>2.3340000000000001</v>
      </c>
      <c r="F11" s="47">
        <f>'[2]Annex 3 (Output 1)'!N33</f>
        <v>0.5625</v>
      </c>
      <c r="G11" s="22">
        <f>'[2]Annex 3 (Output 1)'!S33</f>
        <v>8.5</v>
      </c>
      <c r="H11" s="21">
        <f>'[2]Annex 3 (Output 1)'!X33</f>
        <v>8.5</v>
      </c>
      <c r="I11" s="23">
        <f>'[2]Annex 3 (Output 1)'!AC33</f>
        <v>8.5</v>
      </c>
      <c r="J11" s="23" t="e">
        <f>'Output 1'!#REF!</f>
        <v>#REF!</v>
      </c>
      <c r="K11" s="23" t="e">
        <f>'Output 1'!#REF!</f>
        <v>#REF!</v>
      </c>
      <c r="L11" s="120" t="e">
        <f>'Output 1'!#REF!</f>
        <v>#REF!</v>
      </c>
      <c r="M11" s="48" t="e">
        <f>'Output 1'!#REF!</f>
        <v>#REF!</v>
      </c>
      <c r="N11" s="43">
        <f t="shared" si="1"/>
        <v>8.4375000000000006E-2</v>
      </c>
      <c r="O11" s="24">
        <f t="shared" si="2"/>
        <v>1.2749999999999999</v>
      </c>
      <c r="P11" s="24">
        <f t="shared" si="2"/>
        <v>1.2749999999999999</v>
      </c>
      <c r="Q11" s="24">
        <f t="shared" si="2"/>
        <v>1.2749999999999999</v>
      </c>
      <c r="R11" s="24" t="e">
        <f t="shared" si="2"/>
        <v>#REF!</v>
      </c>
      <c r="S11" s="24" t="e">
        <f t="shared" si="2"/>
        <v>#REF!</v>
      </c>
      <c r="T11" s="24" t="e">
        <f t="shared" si="2"/>
        <v>#REF!</v>
      </c>
      <c r="U11" s="24" t="e">
        <f t="shared" si="2"/>
        <v>#REF!</v>
      </c>
      <c r="V11" s="114">
        <f>'[2]Annex 3 (Output 1)'!M33</f>
        <v>2.25</v>
      </c>
      <c r="W11" s="115">
        <f>'[2]Annex 3 (Output 1)'!R33</f>
        <v>34</v>
      </c>
      <c r="X11" s="115">
        <f>'[2]Annex 3 (Output 1)'!W33</f>
        <v>34</v>
      </c>
      <c r="Y11" s="115">
        <f>'[2]Annex 3 (Output 1)'!AB33</f>
        <v>34</v>
      </c>
      <c r="Z11" s="115" t="e">
        <f>'Output 1'!#REF!</f>
        <v>#REF!</v>
      </c>
      <c r="AA11" s="115" t="e">
        <f>'Output 1'!#REF!</f>
        <v>#REF!</v>
      </c>
      <c r="AB11" s="121" t="e">
        <f>'Output 1'!#REF!</f>
        <v>#REF!</v>
      </c>
      <c r="AC11" s="162" t="e">
        <f>'Output 1'!#REF!</f>
        <v>#REF!</v>
      </c>
      <c r="AD11" s="163"/>
      <c r="AE11" s="119"/>
      <c r="AF11" s="119"/>
      <c r="AG11" s="119"/>
      <c r="AH11" s="119"/>
      <c r="AI11" s="119"/>
      <c r="AJ11" s="119"/>
      <c r="AK11" s="109"/>
    </row>
    <row r="12" spans="1:37" ht="24.95" customHeight="1">
      <c r="A12" s="4"/>
      <c r="B12" s="19" t="s">
        <v>23</v>
      </c>
      <c r="C12" s="20" t="s">
        <v>39</v>
      </c>
      <c r="D12" s="41">
        <v>5</v>
      </c>
      <c r="E12" s="41">
        <v>0.75</v>
      </c>
      <c r="F12" s="47">
        <f>'[2]Annex 3 (Output 1)'!N38</f>
        <v>4</v>
      </c>
      <c r="G12" s="22">
        <f>'[2]Annex 3 (Output 1)'!S38</f>
        <v>10</v>
      </c>
      <c r="H12" s="21">
        <f>'[2]Annex 3 (Output 1)'!X38</f>
        <v>10</v>
      </c>
      <c r="I12" s="23">
        <f>'[2]Annex 3 (Output 1)'!AC38</f>
        <v>10</v>
      </c>
      <c r="J12" s="23" t="e">
        <f>'Output 1'!#REF!</f>
        <v>#REF!</v>
      </c>
      <c r="K12" s="23" t="e">
        <f>'Output 1'!#REF!</f>
        <v>#REF!</v>
      </c>
      <c r="L12" s="120" t="e">
        <f>'Output 1'!#REF!</f>
        <v>#REF!</v>
      </c>
      <c r="M12" s="48" t="e">
        <f>'Output 1'!#REF!</f>
        <v>#REF!</v>
      </c>
      <c r="N12" s="43">
        <f t="shared" si="1"/>
        <v>0.2</v>
      </c>
      <c r="O12" s="24">
        <f t="shared" si="2"/>
        <v>0.5</v>
      </c>
      <c r="P12" s="24">
        <f t="shared" si="2"/>
        <v>0.5</v>
      </c>
      <c r="Q12" s="24">
        <f t="shared" si="2"/>
        <v>0.5</v>
      </c>
      <c r="R12" s="24" t="e">
        <f t="shared" si="2"/>
        <v>#REF!</v>
      </c>
      <c r="S12" s="24" t="e">
        <f t="shared" si="2"/>
        <v>#REF!</v>
      </c>
      <c r="T12" s="24" t="e">
        <f t="shared" si="2"/>
        <v>#REF!</v>
      </c>
      <c r="U12" s="24" t="e">
        <f t="shared" si="2"/>
        <v>#REF!</v>
      </c>
      <c r="V12" s="114">
        <f>'[2]Annex 3 (Output 1)'!M38</f>
        <v>4</v>
      </c>
      <c r="W12" s="115">
        <f>'[2]Annex 3 (Output 1)'!R38</f>
        <v>10</v>
      </c>
      <c r="X12" s="115">
        <f>'[2]Annex 3 (Output 1)'!W38</f>
        <v>10</v>
      </c>
      <c r="Y12" s="115">
        <f>'[2]Annex 3 (Output 1)'!AB38</f>
        <v>10</v>
      </c>
      <c r="Z12" s="115">
        <v>10</v>
      </c>
      <c r="AA12" s="115" t="e">
        <f>'Output 1'!#REF!</f>
        <v>#REF!</v>
      </c>
      <c r="AB12" s="121" t="e">
        <f>'Output 1'!#REF!</f>
        <v>#REF!</v>
      </c>
      <c r="AC12" s="162" t="e">
        <f>'Output 1'!#REF!</f>
        <v>#REF!</v>
      </c>
      <c r="AD12" s="163"/>
      <c r="AE12" s="119"/>
      <c r="AF12" s="119"/>
      <c r="AG12" s="119"/>
      <c r="AH12" s="119"/>
      <c r="AI12" s="119"/>
      <c r="AJ12" s="119"/>
      <c r="AK12" s="109"/>
    </row>
    <row r="13" spans="1:37" ht="24.95" customHeight="1">
      <c r="A13" s="4"/>
      <c r="B13" s="19" t="s">
        <v>24</v>
      </c>
      <c r="C13" s="20" t="s">
        <v>135</v>
      </c>
      <c r="D13" s="41">
        <v>5</v>
      </c>
      <c r="E13" s="41">
        <v>0.379</v>
      </c>
      <c r="F13" s="47">
        <f>'[2]Annex 3 (Output 1)'!N44</f>
        <v>0.670875</v>
      </c>
      <c r="G13" s="22">
        <f>'[2]Annex 3 (Output 1)'!S44</f>
        <v>5.9749999999999996</v>
      </c>
      <c r="H13" s="21">
        <f>'[2]Annex 3 (Output 1)'!X44</f>
        <v>6.5</v>
      </c>
      <c r="I13" s="23">
        <f>'[2]Annex 3 (Output 1)'!AC44</f>
        <v>6.503333333333333</v>
      </c>
      <c r="J13" s="23" t="e">
        <f>'Output 1'!#REF!</f>
        <v>#REF!</v>
      </c>
      <c r="K13" s="23" t="e">
        <f>'Output 1'!#REF!</f>
        <v>#REF!</v>
      </c>
      <c r="L13" s="120" t="e">
        <f>'Output 1'!#REF!</f>
        <v>#REF!</v>
      </c>
      <c r="M13" s="48" t="e">
        <f>'Output 1'!#REF!</f>
        <v>#REF!</v>
      </c>
      <c r="N13" s="43">
        <f t="shared" si="1"/>
        <v>3.3543750000000004E-2</v>
      </c>
      <c r="O13" s="24">
        <f t="shared" si="2"/>
        <v>0.29875000000000002</v>
      </c>
      <c r="P13" s="24">
        <f t="shared" si="2"/>
        <v>0.32500000000000001</v>
      </c>
      <c r="Q13" s="24">
        <f t="shared" si="2"/>
        <v>0.32516666666666666</v>
      </c>
      <c r="R13" s="24" t="e">
        <f t="shared" si="2"/>
        <v>#REF!</v>
      </c>
      <c r="S13" s="24" t="e">
        <f t="shared" si="2"/>
        <v>#REF!</v>
      </c>
      <c r="T13" s="24" t="e">
        <f t="shared" si="2"/>
        <v>#REF!</v>
      </c>
      <c r="U13" s="24" t="e">
        <f t="shared" si="2"/>
        <v>#REF!</v>
      </c>
      <c r="V13" s="114">
        <f>'[2]Annex 3 (Output 1)'!M44</f>
        <v>0.10500000000000001</v>
      </c>
      <c r="W13" s="115">
        <f>'[2]Annex 3 (Output 1)'!R44</f>
        <v>1.0356000000000001</v>
      </c>
      <c r="X13" s="115">
        <f>'[2]Annex 3 (Output 1)'!W44</f>
        <v>4.0380000000000003</v>
      </c>
      <c r="Y13" s="115">
        <f>'[2]Annex 3 (Output 1)'!AB44</f>
        <v>4.1180000000000003</v>
      </c>
      <c r="Z13" s="115">
        <v>6</v>
      </c>
      <c r="AA13" s="115" t="e">
        <f>'Output 1'!#REF!</f>
        <v>#REF!</v>
      </c>
      <c r="AB13" s="121" t="e">
        <f>'Output 1'!#REF!</f>
        <v>#REF!</v>
      </c>
      <c r="AC13" s="162" t="e">
        <f>'Output 1'!#REF!</f>
        <v>#REF!</v>
      </c>
      <c r="AD13" s="163"/>
      <c r="AE13" s="119"/>
      <c r="AF13" s="119"/>
      <c r="AG13" s="119"/>
      <c r="AH13" s="119"/>
      <c r="AI13" s="119"/>
      <c r="AJ13" s="119"/>
      <c r="AK13" s="109"/>
    </row>
    <row r="14" spans="1:37" ht="24.95" customHeight="1">
      <c r="A14" s="4"/>
      <c r="B14" s="19" t="s">
        <v>25</v>
      </c>
      <c r="C14" s="20" t="s">
        <v>130</v>
      </c>
      <c r="D14" s="41">
        <v>5</v>
      </c>
      <c r="E14" s="41">
        <v>0.36299999999999999</v>
      </c>
      <c r="F14" s="47">
        <f>'[2]Annex 3 (Output 1)'!N50</f>
        <v>0.43749999999999994</v>
      </c>
      <c r="G14" s="22">
        <f>'[2]Annex 3 (Output 1)'!S50</f>
        <v>6.0791666666666657</v>
      </c>
      <c r="H14" s="21">
        <f>'[2]Annex 3 (Output 1)'!X50</f>
        <v>6.5</v>
      </c>
      <c r="I14" s="23">
        <f>'[2]Annex 3 (Output 1)'!AC50</f>
        <v>6.5066666666666668</v>
      </c>
      <c r="J14" s="23" t="e">
        <f>'Output 1'!#REF!</f>
        <v>#REF!</v>
      </c>
      <c r="K14" s="23" t="e">
        <f>'Output 1'!#REF!</f>
        <v>#REF!</v>
      </c>
      <c r="L14" s="120" t="e">
        <f>'Output 1'!#REF!</f>
        <v>#REF!</v>
      </c>
      <c r="M14" s="48" t="e">
        <f>'Output 1'!#REF!</f>
        <v>#REF!</v>
      </c>
      <c r="N14" s="43">
        <f t="shared" si="1"/>
        <v>2.1874999999999995E-2</v>
      </c>
      <c r="O14" s="24">
        <f t="shared" si="2"/>
        <v>0.30395833333333327</v>
      </c>
      <c r="P14" s="24">
        <f t="shared" si="2"/>
        <v>0.32500000000000001</v>
      </c>
      <c r="Q14" s="24">
        <f t="shared" si="2"/>
        <v>0.32533333333333331</v>
      </c>
      <c r="R14" s="24" t="e">
        <f t="shared" si="2"/>
        <v>#REF!</v>
      </c>
      <c r="S14" s="24" t="e">
        <f t="shared" si="2"/>
        <v>#REF!</v>
      </c>
      <c r="T14" s="24" t="e">
        <f t="shared" si="2"/>
        <v>#REF!</v>
      </c>
      <c r="U14" s="24" t="e">
        <f t="shared" si="2"/>
        <v>#REF!</v>
      </c>
      <c r="V14" s="114">
        <f>'[2]Annex 3 (Output 1)'!M50</f>
        <v>2.504</v>
      </c>
      <c r="W14" s="115">
        <f>'[2]Annex 3 (Output 1)'!R50</f>
        <v>3.5712000000000002</v>
      </c>
      <c r="X14" s="115">
        <f>'[2]Annex 3 (Output 1)'!W50</f>
        <v>4.0759999999999996</v>
      </c>
      <c r="Y14" s="115">
        <f>'[2]Annex 3 (Output 1)'!AB50</f>
        <v>4.2359999999999998</v>
      </c>
      <c r="Z14" s="115">
        <v>5.5</v>
      </c>
      <c r="AA14" s="115" t="e">
        <f>'Output 1'!#REF!</f>
        <v>#REF!</v>
      </c>
      <c r="AB14" s="121" t="e">
        <f>'Output 2 '!#REF!</f>
        <v>#REF!</v>
      </c>
      <c r="AC14" s="162" t="e">
        <f>'Output 1'!#REF!</f>
        <v>#REF!</v>
      </c>
      <c r="AD14" s="163"/>
      <c r="AE14" s="164" t="s">
        <v>4</v>
      </c>
      <c r="AF14" s="119"/>
      <c r="AG14" s="119"/>
      <c r="AH14" s="119"/>
      <c r="AI14" s="119"/>
      <c r="AJ14" s="119"/>
      <c r="AK14" s="109"/>
    </row>
    <row r="15" spans="1:37" ht="24.95" customHeight="1">
      <c r="A15" s="4"/>
      <c r="B15" s="19"/>
      <c r="C15" s="102" t="s">
        <v>113</v>
      </c>
      <c r="D15" s="36">
        <f>SUM(D8:D14)</f>
        <v>65</v>
      </c>
      <c r="E15" s="36">
        <f>SUM(E8:E14)</f>
        <v>7.6479999999999997</v>
      </c>
      <c r="F15" s="49"/>
      <c r="G15" s="25"/>
      <c r="H15" s="25"/>
      <c r="I15" s="25"/>
      <c r="J15" s="25"/>
      <c r="K15" s="25"/>
      <c r="L15" s="36"/>
      <c r="M15" s="50"/>
      <c r="N15" s="44">
        <f t="shared" ref="N15:P15" si="3">SUM(N8:N14)</f>
        <v>0.72520986111111096</v>
      </c>
      <c r="O15" s="25">
        <f t="shared" si="3"/>
        <v>3.7330084166666664</v>
      </c>
      <c r="P15" s="25">
        <f t="shared" si="3"/>
        <v>4.3318431944444447</v>
      </c>
      <c r="Q15" s="25">
        <f>SUM(Q8:Q14)</f>
        <v>4.7488071944444448</v>
      </c>
      <c r="R15" s="25" t="e">
        <f>SUM(R8:R14)</f>
        <v>#REF!</v>
      </c>
      <c r="S15" s="25" t="e">
        <f>SUM(S8:S14)</f>
        <v>#REF!</v>
      </c>
      <c r="T15" s="25" t="e">
        <f>SUM(T8:T14)</f>
        <v>#REF!</v>
      </c>
      <c r="U15" s="25" t="e">
        <f>SUM(U8:U14)</f>
        <v>#REF!</v>
      </c>
      <c r="V15" s="49">
        <f>V8*$D8/100+V9*$D9/100+V10*$D10/100+V11*$D11/100+V12*$D12/100+V13*$D13/100+V14*$D14/100</f>
        <v>1.9776078366445913</v>
      </c>
      <c r="W15" s="25">
        <f t="shared" ref="W15:X15" si="4">W8*$D8/100+W9*$D9/100+W10*$D10/100+W11*$D11/100+W12*$D12/100+W13*$D13/100+W14*$D14/100</f>
        <v>10.905082209634804</v>
      </c>
      <c r="X15" s="25">
        <f t="shared" si="4"/>
        <v>13.208744596850199</v>
      </c>
      <c r="Y15" s="25">
        <f t="shared" ref="Y15:AB15" si="5">SUM(Y8:Y14)/5</f>
        <v>23.322207382267983</v>
      </c>
      <c r="Z15" s="25" t="e">
        <f t="shared" si="5"/>
        <v>#REF!</v>
      </c>
      <c r="AA15" s="25" t="e">
        <f t="shared" si="5"/>
        <v>#REF!</v>
      </c>
      <c r="AB15" s="25" t="e">
        <f t="shared" si="5"/>
        <v>#REF!</v>
      </c>
      <c r="AC15" s="36" t="e">
        <f t="shared" ref="AC15" si="6">SUM(AC8:AC14)/5</f>
        <v>#REF!</v>
      </c>
      <c r="AD15" s="163"/>
      <c r="AE15" s="119"/>
      <c r="AF15" s="119"/>
      <c r="AG15" s="119"/>
      <c r="AH15" s="119"/>
      <c r="AI15" s="119"/>
      <c r="AJ15" s="119"/>
      <c r="AK15" s="109"/>
    </row>
    <row r="16" spans="1:37" ht="24.95" customHeight="1">
      <c r="A16" s="4"/>
      <c r="B16" s="1514" t="s">
        <v>1</v>
      </c>
      <c r="C16" s="1515"/>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row>
    <row r="17" spans="1:37" ht="24.95" customHeight="1">
      <c r="A17" s="4"/>
      <c r="B17" s="19" t="s">
        <v>26</v>
      </c>
      <c r="C17" s="20" t="s">
        <v>58</v>
      </c>
      <c r="D17" s="41">
        <v>5</v>
      </c>
      <c r="E17" s="41">
        <v>0.313</v>
      </c>
      <c r="F17" s="47">
        <f>'[2]Annne 4(Output 2)'!$N14</f>
        <v>1.8125</v>
      </c>
      <c r="G17" s="22">
        <f>'[2]Annne 4(Output 2)'!$S14</f>
        <v>3.25</v>
      </c>
      <c r="H17" s="21">
        <f>'[2]Annne 4(Output 2)'!$X14</f>
        <v>3.25</v>
      </c>
      <c r="I17" s="23">
        <f>'[2]Annne 4(Output 2)'!AC14</f>
        <v>3.25</v>
      </c>
      <c r="J17" s="23" t="e">
        <f>'Output 2 '!#REF!</f>
        <v>#REF!</v>
      </c>
      <c r="K17" s="23" t="e">
        <f>'Output 2 '!#REF!</f>
        <v>#REF!</v>
      </c>
      <c r="L17" s="120" t="e">
        <f>'Output 2 '!#REF!</f>
        <v>#REF!</v>
      </c>
      <c r="M17" s="48" t="e">
        <f>'Output 2 '!#REF!</f>
        <v>#REF!</v>
      </c>
      <c r="N17" s="43">
        <f t="shared" ref="N17:U17" si="7">(F17*$D17)/100</f>
        <v>9.0624999999999997E-2</v>
      </c>
      <c r="O17" s="24">
        <f t="shared" si="7"/>
        <v>0.16250000000000001</v>
      </c>
      <c r="P17" s="24">
        <f t="shared" si="7"/>
        <v>0.16250000000000001</v>
      </c>
      <c r="Q17" s="24">
        <f t="shared" si="7"/>
        <v>0.16250000000000001</v>
      </c>
      <c r="R17" s="24" t="e">
        <f t="shared" si="7"/>
        <v>#REF!</v>
      </c>
      <c r="S17" s="24" t="e">
        <f t="shared" si="7"/>
        <v>#REF!</v>
      </c>
      <c r="T17" s="24" t="e">
        <f t="shared" si="7"/>
        <v>#REF!</v>
      </c>
      <c r="U17" s="24" t="e">
        <f t="shared" si="7"/>
        <v>#REF!</v>
      </c>
      <c r="V17" s="51">
        <f>'[2]Annne 4(Output 2)'!$M14</f>
        <v>4.25</v>
      </c>
      <c r="W17" s="21">
        <f>'[2]Annne 4(Output 2)'!$R14</f>
        <v>9</v>
      </c>
      <c r="X17" s="21">
        <f>'[2]Annne 4(Output 2)'!$W14</f>
        <v>9</v>
      </c>
      <c r="Y17" s="21">
        <f>'[2]Annne 4(Output 2)'!$AB14</f>
        <v>9</v>
      </c>
      <c r="Z17" s="21" t="e">
        <f>'Output 2 '!#REF!</f>
        <v>#REF!</v>
      </c>
      <c r="AA17" s="21" t="e">
        <f>'Output 2 '!#REF!</f>
        <v>#REF!</v>
      </c>
      <c r="AB17" s="122" t="e">
        <f>'Output 2 '!#REF!</f>
        <v>#REF!</v>
      </c>
      <c r="AC17" s="116" t="e">
        <f>'Output 2 '!#REF!</f>
        <v>#REF!</v>
      </c>
      <c r="AD17" s="51">
        <f>'[2]Annne 4(Output 2)'!$M14</f>
        <v>4.25</v>
      </c>
      <c r="AE17" s="21">
        <f>'[2]Annne 4(Output 2)'!$R14</f>
        <v>9</v>
      </c>
      <c r="AF17" s="21">
        <f>'[2]Annne 4(Output 2)'!$W14</f>
        <v>9</v>
      </c>
      <c r="AG17" s="21">
        <f>'[2]Annne 4(Output 2)'!$AB14</f>
        <v>9</v>
      </c>
      <c r="AH17" s="21" t="e">
        <f>'Output 2 '!#REF!</f>
        <v>#REF!</v>
      </c>
      <c r="AI17" s="21" t="e">
        <f>'Output 2 '!#REF!</f>
        <v>#REF!</v>
      </c>
      <c r="AJ17" s="122" t="e">
        <f>'Output 2 '!#REF!</f>
        <v>#REF!</v>
      </c>
      <c r="AK17" s="116" t="e">
        <f>'Output 2 '!#REF!</f>
        <v>#REF!</v>
      </c>
    </row>
    <row r="18" spans="1:37" ht="24.95" customHeight="1">
      <c r="A18" s="4"/>
      <c r="B18" s="19" t="s">
        <v>27</v>
      </c>
      <c r="C18" s="20" t="s">
        <v>54</v>
      </c>
      <c r="D18" s="41">
        <v>5</v>
      </c>
      <c r="E18" s="41">
        <v>0.82</v>
      </c>
      <c r="F18" s="47">
        <f>'[2]Annne 4(Output 2)'!N22</f>
        <v>10.125</v>
      </c>
      <c r="G18" s="22">
        <f>'[2]Annne 4(Output 2)'!S22</f>
        <v>11.25</v>
      </c>
      <c r="H18" s="21">
        <f>'[2]Annne 4(Output 2)'!X22</f>
        <v>11.25</v>
      </c>
      <c r="I18" s="23" t="e">
        <f>'Output 2 '!#REF!</f>
        <v>#REF!</v>
      </c>
      <c r="J18" s="23" t="e">
        <f>'Output 2 '!#REF!</f>
        <v>#REF!</v>
      </c>
      <c r="K18" s="23" t="e">
        <f>'Output 2 '!#REF!</f>
        <v>#REF!</v>
      </c>
      <c r="L18" s="120" t="e">
        <f>'Output 2 '!#REF!</f>
        <v>#REF!</v>
      </c>
      <c r="M18" s="48" t="e">
        <f>'Output 2 '!#REF!</f>
        <v>#REF!</v>
      </c>
      <c r="N18" s="43">
        <f t="shared" ref="N18:Q22" si="8">(F18*$D18)/100</f>
        <v>0.50624999999999998</v>
      </c>
      <c r="O18" s="24">
        <f t="shared" si="8"/>
        <v>0.5625</v>
      </c>
      <c r="P18" s="24">
        <f t="shared" si="8"/>
        <v>0.5625</v>
      </c>
      <c r="Q18" s="24" t="e">
        <f t="shared" si="8"/>
        <v>#REF!</v>
      </c>
      <c r="R18" s="24" t="e">
        <f t="shared" ref="R18:R22" si="9">(J18*$D18)/100</f>
        <v>#REF!</v>
      </c>
      <c r="S18" s="24" t="e">
        <f t="shared" ref="S18:U22" si="10">(K18*$D18)/100</f>
        <v>#REF!</v>
      </c>
      <c r="T18" s="24" t="e">
        <f t="shared" si="10"/>
        <v>#REF!</v>
      </c>
      <c r="U18" s="24" t="e">
        <f t="shared" si="10"/>
        <v>#REF!</v>
      </c>
      <c r="V18" s="51">
        <f>'[2]Annne 4(Output 2)'!$M22</f>
        <v>13.5</v>
      </c>
      <c r="W18" s="21">
        <f>'[2]Annne 4(Output 2)'!$R22</f>
        <v>15</v>
      </c>
      <c r="X18" s="21">
        <f>'[2]Annne 4(Output 2)'!$W22</f>
        <v>15</v>
      </c>
      <c r="Y18" s="21">
        <v>18</v>
      </c>
      <c r="Z18" s="21" t="e">
        <f>'Output 2 '!#REF!</f>
        <v>#REF!</v>
      </c>
      <c r="AA18" s="21" t="e">
        <f>'Output 2 '!#REF!</f>
        <v>#REF!</v>
      </c>
      <c r="AB18" s="122" t="e">
        <f>'Output 2 '!#REF!</f>
        <v>#REF!</v>
      </c>
      <c r="AC18" s="116" t="e">
        <f>'Output 2 '!#REF!</f>
        <v>#REF!</v>
      </c>
      <c r="AD18" s="51">
        <f>'[2]Annne 4(Output 2)'!$M22</f>
        <v>13.5</v>
      </c>
      <c r="AE18" s="21">
        <f>'[2]Annne 4(Output 2)'!$R22</f>
        <v>15</v>
      </c>
      <c r="AF18" s="21">
        <f>'[2]Annne 4(Output 2)'!$W22</f>
        <v>15</v>
      </c>
      <c r="AG18" s="21">
        <v>18</v>
      </c>
      <c r="AH18" s="21" t="e">
        <f>'Output 2 '!#REF!</f>
        <v>#REF!</v>
      </c>
      <c r="AI18" s="21" t="e">
        <f>'Output 2 '!#REF!</f>
        <v>#REF!</v>
      </c>
      <c r="AJ18" s="122" t="e">
        <f>'Output 2 '!#REF!</f>
        <v>#REF!</v>
      </c>
      <c r="AK18" s="116" t="e">
        <f>'Output 2 '!#REF!</f>
        <v>#REF!</v>
      </c>
    </row>
    <row r="19" spans="1:37" ht="24.95" customHeight="1">
      <c r="A19" s="4"/>
      <c r="B19" s="19" t="s">
        <v>28</v>
      </c>
      <c r="C19" s="20" t="s">
        <v>59</v>
      </c>
      <c r="D19" s="41">
        <v>3</v>
      </c>
      <c r="E19" s="41">
        <v>0.36299999999999999</v>
      </c>
      <c r="F19" s="47">
        <f>'[2]Annne 4(Output 2)'!N32</f>
        <v>1.3611111111111112</v>
      </c>
      <c r="G19" s="22">
        <f>'[2]Annne 4(Output 2)'!S32</f>
        <v>6.481481481481481</v>
      </c>
      <c r="H19" s="21">
        <f>'[2]Annne 4(Output 2)'!X32</f>
        <v>6.8518518518518512</v>
      </c>
      <c r="I19" s="23">
        <f>'[2]Annne 4(Output 2)'!AC32</f>
        <v>6.8518518518518512</v>
      </c>
      <c r="J19" s="23" t="e">
        <f>'Output 2 '!#REF!</f>
        <v>#REF!</v>
      </c>
      <c r="K19" s="23" t="e">
        <f>'Output 2 '!#REF!</f>
        <v>#REF!</v>
      </c>
      <c r="L19" s="120" t="e">
        <f>'Output 2 '!#REF!</f>
        <v>#REF!</v>
      </c>
      <c r="M19" s="48" t="e">
        <f>'Output 2 '!#REF!</f>
        <v>#REF!</v>
      </c>
      <c r="N19" s="43">
        <f t="shared" si="8"/>
        <v>4.083333333333334E-2</v>
      </c>
      <c r="O19" s="24">
        <f t="shared" si="8"/>
        <v>0.19444444444444442</v>
      </c>
      <c r="P19" s="24">
        <f t="shared" si="8"/>
        <v>0.20555555555555555</v>
      </c>
      <c r="Q19" s="24">
        <f t="shared" si="8"/>
        <v>0.20555555555555555</v>
      </c>
      <c r="R19" s="24" t="e">
        <f t="shared" si="9"/>
        <v>#REF!</v>
      </c>
      <c r="S19" s="24" t="e">
        <f t="shared" si="10"/>
        <v>#REF!</v>
      </c>
      <c r="T19" s="24" t="e">
        <f t="shared" si="10"/>
        <v>#REF!</v>
      </c>
      <c r="U19" s="24" t="e">
        <f t="shared" si="10"/>
        <v>#REF!</v>
      </c>
      <c r="V19" s="51">
        <f>'[2]Annne 4(Output 2)'!$M32</f>
        <v>2.4</v>
      </c>
      <c r="W19" s="21">
        <f>'[2]Annne 4(Output 2)'!$R32</f>
        <v>9</v>
      </c>
      <c r="X19" s="21">
        <f>'[2]Annne 4(Output 2)'!$W32</f>
        <v>10</v>
      </c>
      <c r="Y19" s="21">
        <f>'[2]Annne 4(Output 2)'!$AB32</f>
        <v>10</v>
      </c>
      <c r="Z19" s="21">
        <v>10</v>
      </c>
      <c r="AA19" s="21" t="e">
        <f>'Output 2 '!#REF!</f>
        <v>#REF!</v>
      </c>
      <c r="AB19" s="122" t="e">
        <f>'Output 2 '!#REF!</f>
        <v>#REF!</v>
      </c>
      <c r="AC19" s="116" t="e">
        <f>'Output 2 '!#REF!</f>
        <v>#REF!</v>
      </c>
      <c r="AD19" s="51">
        <f>'[2]Annne 4(Output 2)'!$M32</f>
        <v>2.4</v>
      </c>
      <c r="AE19" s="21">
        <f>'[2]Annne 4(Output 2)'!$R32</f>
        <v>9</v>
      </c>
      <c r="AF19" s="21">
        <f>'[2]Annne 4(Output 2)'!$W32</f>
        <v>10</v>
      </c>
      <c r="AG19" s="21">
        <f>'[2]Annne 4(Output 2)'!$AB32</f>
        <v>10</v>
      </c>
      <c r="AH19" s="21">
        <v>10</v>
      </c>
      <c r="AI19" s="21" t="e">
        <f>'Output 2 '!#REF!</f>
        <v>#REF!</v>
      </c>
      <c r="AJ19" s="122" t="e">
        <f>'Output 2 '!#REF!</f>
        <v>#REF!</v>
      </c>
      <c r="AK19" s="116" t="e">
        <f>'Output 2 '!#REF!</f>
        <v>#REF!</v>
      </c>
    </row>
    <row r="20" spans="1:37" ht="24.95" customHeight="1">
      <c r="A20" s="4"/>
      <c r="B20" s="19" t="s">
        <v>29</v>
      </c>
      <c r="C20" s="20" t="s">
        <v>136</v>
      </c>
      <c r="D20" s="41">
        <v>3</v>
      </c>
      <c r="E20" s="41">
        <v>0.3</v>
      </c>
      <c r="F20" s="47">
        <v>0</v>
      </c>
      <c r="G20" s="22">
        <v>0</v>
      </c>
      <c r="H20" s="21" t="e">
        <f>'Output 2 '!#REF!</f>
        <v>#REF!</v>
      </c>
      <c r="I20" s="23" t="e">
        <f>'Output 2 '!#REF!</f>
        <v>#REF!</v>
      </c>
      <c r="J20" s="23" t="e">
        <f>'Output 2 '!#REF!</f>
        <v>#REF!</v>
      </c>
      <c r="K20" s="23" t="e">
        <f>'Output 2 '!#REF!</f>
        <v>#REF!</v>
      </c>
      <c r="L20" s="120" t="e">
        <f>'Output 2 '!#REF!</f>
        <v>#REF!</v>
      </c>
      <c r="M20" s="48" t="e">
        <f>'Output 2 '!#REF!</f>
        <v>#REF!</v>
      </c>
      <c r="N20" s="43">
        <f t="shared" si="8"/>
        <v>0</v>
      </c>
      <c r="O20" s="24">
        <f t="shared" si="8"/>
        <v>0</v>
      </c>
      <c r="P20" s="24" t="e">
        <f t="shared" si="8"/>
        <v>#REF!</v>
      </c>
      <c r="Q20" s="24" t="e">
        <f t="shared" si="8"/>
        <v>#REF!</v>
      </c>
      <c r="R20" s="24" t="e">
        <f t="shared" si="9"/>
        <v>#REF!</v>
      </c>
      <c r="S20" s="24" t="e">
        <f t="shared" si="10"/>
        <v>#REF!</v>
      </c>
      <c r="T20" s="24" t="e">
        <f t="shared" si="10"/>
        <v>#REF!</v>
      </c>
      <c r="U20" s="24" t="e">
        <f t="shared" si="10"/>
        <v>#REF!</v>
      </c>
      <c r="V20" s="51">
        <f>'[2]Annne 4(Output 2)'!$M38</f>
        <v>10</v>
      </c>
      <c r="W20" s="21">
        <f>'[2]Annne 4(Output 2)'!$R38</f>
        <v>1</v>
      </c>
      <c r="X20" s="21">
        <f>'[2]Annne 4(Output 2)'!$W38</f>
        <v>1</v>
      </c>
      <c r="Y20" s="21" t="e">
        <f>'Output 2 '!#REF!</f>
        <v>#REF!</v>
      </c>
      <c r="Z20" s="21" t="e">
        <f>'Output 2 '!#REF!</f>
        <v>#REF!</v>
      </c>
      <c r="AA20" s="21" t="e">
        <f>'Output 2 '!#REF!</f>
        <v>#REF!</v>
      </c>
      <c r="AB20" s="122" t="e">
        <f>'Output 2 '!#REF!</f>
        <v>#REF!</v>
      </c>
      <c r="AC20" s="116" t="e">
        <f>'Output 2 '!#REF!</f>
        <v>#REF!</v>
      </c>
      <c r="AD20" s="51">
        <f>'[2]Annne 4(Output 2)'!$M38</f>
        <v>10</v>
      </c>
      <c r="AE20" s="21">
        <f>'[2]Annne 4(Output 2)'!$R38</f>
        <v>1</v>
      </c>
      <c r="AF20" s="21">
        <f>'[2]Annne 4(Output 2)'!$W38</f>
        <v>1</v>
      </c>
      <c r="AG20" s="21" t="e">
        <f>'Output 2 '!#REF!</f>
        <v>#REF!</v>
      </c>
      <c r="AH20" s="21" t="e">
        <f>'Output 2 '!#REF!</f>
        <v>#REF!</v>
      </c>
      <c r="AI20" s="21" t="e">
        <f>'Output 2 '!#REF!</f>
        <v>#REF!</v>
      </c>
      <c r="AJ20" s="122" t="e">
        <f>'Output 2 '!#REF!</f>
        <v>#REF!</v>
      </c>
      <c r="AK20" s="116" t="e">
        <f>'Output 2 '!#REF!</f>
        <v>#REF!</v>
      </c>
    </row>
    <row r="21" spans="1:37" ht="24.95" customHeight="1">
      <c r="A21" s="4"/>
      <c r="B21" s="19" t="s">
        <v>30</v>
      </c>
      <c r="C21" s="26" t="s">
        <v>60</v>
      </c>
      <c r="D21" s="41">
        <v>2</v>
      </c>
      <c r="E21" s="41">
        <v>0.52700000000000002</v>
      </c>
      <c r="F21" s="47">
        <f>'[2]Annne 4(Output 2)'!N44</f>
        <v>10</v>
      </c>
      <c r="G21" s="22">
        <f>'[2]Annne 4(Output 2)'!S44</f>
        <v>18.75</v>
      </c>
      <c r="H21" s="21">
        <f>'[2]Annne 4(Output 2)'!X44</f>
        <v>20</v>
      </c>
      <c r="I21" s="23">
        <f>'[2]Annne 4(Output 2)'!AC44</f>
        <v>20</v>
      </c>
      <c r="J21" s="23" t="e">
        <f>'Output 2 '!#REF!</f>
        <v>#REF!</v>
      </c>
      <c r="K21" s="23" t="e">
        <f>'Output 2 '!#REF!</f>
        <v>#REF!</v>
      </c>
      <c r="L21" s="120" t="e">
        <f>'Output 2 '!#REF!</f>
        <v>#REF!</v>
      </c>
      <c r="M21" s="48" t="e">
        <f>'Output 2 '!#REF!</f>
        <v>#REF!</v>
      </c>
      <c r="N21" s="43">
        <f t="shared" si="8"/>
        <v>0.2</v>
      </c>
      <c r="O21" s="24">
        <f t="shared" si="8"/>
        <v>0.375</v>
      </c>
      <c r="P21" s="24">
        <f t="shared" si="8"/>
        <v>0.4</v>
      </c>
      <c r="Q21" s="24">
        <f t="shared" si="8"/>
        <v>0.4</v>
      </c>
      <c r="R21" s="24" t="e">
        <f t="shared" si="9"/>
        <v>#REF!</v>
      </c>
      <c r="S21" s="24" t="e">
        <f t="shared" si="10"/>
        <v>#REF!</v>
      </c>
      <c r="T21" s="24" t="e">
        <f t="shared" si="10"/>
        <v>#REF!</v>
      </c>
      <c r="U21" s="24" t="e">
        <f t="shared" si="10"/>
        <v>#REF!</v>
      </c>
      <c r="V21" s="51">
        <f>'[2]Annne 4(Output 2)'!$M44</f>
        <v>17.5</v>
      </c>
      <c r="W21" s="21">
        <f>'[2]Annne 4(Output 2)'!$R44</f>
        <v>30</v>
      </c>
      <c r="X21" s="21" t="e">
        <f>'Output 2 '!#REF!</f>
        <v>#REF!</v>
      </c>
      <c r="Y21" s="21">
        <f>'[2]Annne 4(Output 2)'!$AB44</f>
        <v>56.5</v>
      </c>
      <c r="Z21" s="21">
        <f>Y21</f>
        <v>56.5</v>
      </c>
      <c r="AA21" s="21" t="e">
        <f>'Output 2 '!#REF!</f>
        <v>#REF!</v>
      </c>
      <c r="AB21" s="122" t="e">
        <f>'Output 2 '!#REF!</f>
        <v>#REF!</v>
      </c>
      <c r="AC21" s="116" t="e">
        <f>'Output 2 '!#REF!</f>
        <v>#REF!</v>
      </c>
      <c r="AD21" s="51">
        <f>'[2]Annne 4(Output 2)'!$M44</f>
        <v>17.5</v>
      </c>
      <c r="AE21" s="21">
        <f>'[2]Annne 4(Output 2)'!$R44</f>
        <v>30</v>
      </c>
      <c r="AF21" s="21" t="e">
        <f>'Output 2 '!#REF!</f>
        <v>#REF!</v>
      </c>
      <c r="AG21" s="21">
        <f>'[2]Annne 4(Output 2)'!$AB44</f>
        <v>56.5</v>
      </c>
      <c r="AH21" s="21">
        <f>AG21</f>
        <v>56.5</v>
      </c>
      <c r="AI21" s="21" t="e">
        <f>'Output 2 '!#REF!</f>
        <v>#REF!</v>
      </c>
      <c r="AJ21" s="122" t="e">
        <f>'Output 2 '!#REF!</f>
        <v>#REF!</v>
      </c>
      <c r="AK21" s="116" t="e">
        <f>'Output 2 '!#REF!</f>
        <v>#REF!</v>
      </c>
    </row>
    <row r="22" spans="1:37" ht="24.95" customHeight="1">
      <c r="A22" s="4"/>
      <c r="B22" s="19" t="s">
        <v>31</v>
      </c>
      <c r="C22" s="27" t="s">
        <v>61</v>
      </c>
      <c r="D22" s="41">
        <v>2</v>
      </c>
      <c r="E22" s="41">
        <v>0.60599999999999998</v>
      </c>
      <c r="F22" s="47">
        <f>'[2]Annne 4(Output 2)'!N50</f>
        <v>2.5</v>
      </c>
      <c r="G22" s="22">
        <f>'[2]Annne 4(Output 2)'!S50</f>
        <v>13.125</v>
      </c>
      <c r="H22" s="21">
        <f>'[2]Annne 4(Output 2)'!X50</f>
        <v>13.75</v>
      </c>
      <c r="I22" s="23">
        <f>'[2]Annne 4(Output 2)'!AC50</f>
        <v>21.75</v>
      </c>
      <c r="J22" s="23" t="e">
        <f>'Output 2 '!#REF!</f>
        <v>#REF!</v>
      </c>
      <c r="K22" s="23" t="e">
        <f>'Output 2 '!#REF!</f>
        <v>#REF!</v>
      </c>
      <c r="L22" s="120" t="e">
        <f>'Output 2 '!#REF!</f>
        <v>#REF!</v>
      </c>
      <c r="M22" s="48" t="e">
        <f>'Output 2 '!#REF!</f>
        <v>#REF!</v>
      </c>
      <c r="N22" s="43">
        <f t="shared" si="8"/>
        <v>0.05</v>
      </c>
      <c r="O22" s="24">
        <f t="shared" si="8"/>
        <v>0.26250000000000001</v>
      </c>
      <c r="P22" s="24">
        <f t="shared" si="8"/>
        <v>0.27500000000000002</v>
      </c>
      <c r="Q22" s="24">
        <f t="shared" si="8"/>
        <v>0.435</v>
      </c>
      <c r="R22" s="24" t="e">
        <f t="shared" si="9"/>
        <v>#REF!</v>
      </c>
      <c r="S22" s="24" t="e">
        <f t="shared" si="10"/>
        <v>#REF!</v>
      </c>
      <c r="T22" s="24" t="e">
        <f t="shared" si="10"/>
        <v>#REF!</v>
      </c>
      <c r="U22" s="24" t="e">
        <f t="shared" si="10"/>
        <v>#REF!</v>
      </c>
      <c r="V22" s="51">
        <f>'[2]Annne 4(Output 2)'!$M50</f>
        <v>10</v>
      </c>
      <c r="W22" s="21">
        <f>'[2]Annne 4(Output 2)'!$R50</f>
        <v>52.5</v>
      </c>
      <c r="X22" s="21">
        <f>'[2]Annne 4(Output 2)'!$W50</f>
        <v>55</v>
      </c>
      <c r="Y22" s="21">
        <f>'[2]Annne 4(Output 2)'!$AB50</f>
        <v>79</v>
      </c>
      <c r="Z22" s="21">
        <f>Y22</f>
        <v>79</v>
      </c>
      <c r="AA22" s="21" t="e">
        <f>'Output 2 '!#REF!</f>
        <v>#REF!</v>
      </c>
      <c r="AB22" s="122" t="e">
        <f>'Output 2 '!#REF!</f>
        <v>#REF!</v>
      </c>
      <c r="AC22" s="116" t="e">
        <f>'Output 2 '!#REF!</f>
        <v>#REF!</v>
      </c>
      <c r="AD22" s="51">
        <f>'[2]Annne 4(Output 2)'!$M50</f>
        <v>10</v>
      </c>
      <c r="AE22" s="21">
        <f>'[2]Annne 4(Output 2)'!$R50</f>
        <v>52.5</v>
      </c>
      <c r="AF22" s="21">
        <f>'[2]Annne 4(Output 2)'!$W50</f>
        <v>55</v>
      </c>
      <c r="AG22" s="21">
        <f>'[2]Annne 4(Output 2)'!$AB50</f>
        <v>79</v>
      </c>
      <c r="AH22" s="21">
        <f>AG22</f>
        <v>79</v>
      </c>
      <c r="AI22" s="21" t="e">
        <f>'Output 2 '!#REF!</f>
        <v>#REF!</v>
      </c>
      <c r="AJ22" s="122" t="e">
        <f>'Output 2 '!#REF!</f>
        <v>#REF!</v>
      </c>
      <c r="AK22" s="116" t="e">
        <f>'Output 2 '!#REF!</f>
        <v>#REF!</v>
      </c>
    </row>
    <row r="23" spans="1:37" ht="24.95" customHeight="1">
      <c r="A23" s="4"/>
      <c r="B23" s="19"/>
      <c r="C23" s="102" t="s">
        <v>5</v>
      </c>
      <c r="D23" s="36">
        <f>SUM(D17:D22)</f>
        <v>20</v>
      </c>
      <c r="E23" s="36">
        <f>SUM(E17:E22)</f>
        <v>2.9289999999999998</v>
      </c>
      <c r="F23" s="49" t="s">
        <v>4</v>
      </c>
      <c r="G23" s="25" t="s">
        <v>4</v>
      </c>
      <c r="H23" s="25" t="e">
        <f t="shared" ref="H23:S23" si="11">SUM(H17:H22)</f>
        <v>#REF!</v>
      </c>
      <c r="I23" s="25" t="e">
        <f t="shared" si="11"/>
        <v>#REF!</v>
      </c>
      <c r="J23" s="25" t="e">
        <f t="shared" si="11"/>
        <v>#REF!</v>
      </c>
      <c r="K23" s="25"/>
      <c r="L23" s="36"/>
      <c r="M23" s="50"/>
      <c r="N23" s="44">
        <f t="shared" si="11"/>
        <v>0.88770833333333332</v>
      </c>
      <c r="O23" s="25">
        <f t="shared" si="11"/>
        <v>1.5569444444444442</v>
      </c>
      <c r="P23" s="25" t="e">
        <f t="shared" si="11"/>
        <v>#REF!</v>
      </c>
      <c r="Q23" s="25" t="e">
        <f t="shared" si="11"/>
        <v>#REF!</v>
      </c>
      <c r="R23" s="25" t="e">
        <f t="shared" si="11"/>
        <v>#REF!</v>
      </c>
      <c r="S23" s="25" t="e">
        <f t="shared" si="11"/>
        <v>#REF!</v>
      </c>
      <c r="T23" s="25" t="e">
        <f t="shared" ref="T23:U23" si="12">SUM(T17:T22)</f>
        <v>#REF!</v>
      </c>
      <c r="U23" s="25" t="e">
        <f t="shared" si="12"/>
        <v>#REF!</v>
      </c>
      <c r="V23" s="49">
        <f>SUM(V16:V22)/5</f>
        <v>11.53</v>
      </c>
      <c r="W23" s="25">
        <f t="shared" ref="W23" si="13">SUM(W16:W22)/5</f>
        <v>23.3</v>
      </c>
      <c r="X23" s="25" t="e">
        <f t="shared" ref="X23:AB23" si="14">SUM(X16:X22)/5</f>
        <v>#REF!</v>
      </c>
      <c r="Y23" s="25" t="e">
        <f t="shared" si="14"/>
        <v>#REF!</v>
      </c>
      <c r="Z23" s="25" t="e">
        <f t="shared" si="14"/>
        <v>#REF!</v>
      </c>
      <c r="AA23" s="25" t="e">
        <f t="shared" si="14"/>
        <v>#REF!</v>
      </c>
      <c r="AB23" s="25" t="e">
        <f t="shared" si="14"/>
        <v>#REF!</v>
      </c>
      <c r="AC23" s="105" t="e">
        <f t="shared" ref="AC23" si="15">SUM(AC16:AC22)/5</f>
        <v>#REF!</v>
      </c>
      <c r="AD23" s="49">
        <f>SUM(AD16:AD22)/5</f>
        <v>11.53</v>
      </c>
      <c r="AE23" s="25">
        <f t="shared" ref="AE23" si="16">SUM(AE16:AE22)/5</f>
        <v>23.3</v>
      </c>
      <c r="AF23" s="25" t="e">
        <f t="shared" ref="AF23:AK23" si="17">SUM(AF16:AF22)/5</f>
        <v>#REF!</v>
      </c>
      <c r="AG23" s="25" t="e">
        <f t="shared" si="17"/>
        <v>#REF!</v>
      </c>
      <c r="AH23" s="25" t="e">
        <f t="shared" si="17"/>
        <v>#REF!</v>
      </c>
      <c r="AI23" s="25" t="e">
        <f t="shared" si="17"/>
        <v>#REF!</v>
      </c>
      <c r="AJ23" s="25" t="e">
        <f t="shared" si="17"/>
        <v>#REF!</v>
      </c>
      <c r="AK23" s="105" t="e">
        <f t="shared" si="17"/>
        <v>#REF!</v>
      </c>
    </row>
    <row r="24" spans="1:37" ht="24.95" customHeight="1">
      <c r="A24" s="4"/>
      <c r="B24" s="1533" t="s">
        <v>2</v>
      </c>
      <c r="C24" s="1534"/>
      <c r="D24" s="1534"/>
      <c r="E24" s="1534"/>
      <c r="F24" s="1534"/>
      <c r="G24" s="1534"/>
      <c r="H24" s="1534"/>
      <c r="I24" s="1534"/>
      <c r="J24" s="1534"/>
      <c r="K24" s="1534"/>
      <c r="L24" s="1534"/>
      <c r="M24" s="1534"/>
      <c r="N24" s="1534"/>
      <c r="O24" s="1534"/>
      <c r="P24" s="1534"/>
      <c r="Q24" s="1534"/>
      <c r="R24" s="1534"/>
      <c r="S24" s="1534"/>
      <c r="T24" s="1534"/>
      <c r="U24" s="1534"/>
      <c r="V24" s="1534"/>
      <c r="W24" s="1534"/>
      <c r="X24" s="1534"/>
      <c r="Y24" s="1534"/>
      <c r="Z24" s="1534"/>
      <c r="AA24" s="1534"/>
      <c r="AB24" s="1534"/>
      <c r="AC24" s="1534"/>
    </row>
    <row r="25" spans="1:37" ht="24.95" customHeight="1">
      <c r="A25" s="4"/>
      <c r="B25" s="19" t="s">
        <v>32</v>
      </c>
      <c r="C25" s="28" t="s">
        <v>64</v>
      </c>
      <c r="D25" s="41">
        <v>2</v>
      </c>
      <c r="E25" s="41">
        <v>0.38</v>
      </c>
      <c r="F25" s="51">
        <f>'[2]Annex 5 (Output 3)'!$N13</f>
        <v>9.5</v>
      </c>
      <c r="G25" s="21">
        <f>'[2]Annex 5 (Output 3)'!$S13</f>
        <v>7.75</v>
      </c>
      <c r="H25" s="21" t="e">
        <f>#REF!</f>
        <v>#REF!</v>
      </c>
      <c r="I25" s="23" t="e">
        <f>#REF!</f>
        <v>#REF!</v>
      </c>
      <c r="J25" s="23" t="e">
        <f>#REF!</f>
        <v>#REF!</v>
      </c>
      <c r="K25" s="23" t="e">
        <f>#REF!</f>
        <v>#REF!</v>
      </c>
      <c r="L25" s="23" t="e">
        <f>#REF!</f>
        <v>#REF!</v>
      </c>
      <c r="M25" s="48" t="e">
        <f>#REF!</f>
        <v>#REF!</v>
      </c>
      <c r="N25" s="43">
        <f t="shared" ref="N25:U31" si="18">(F25*$D25)/100</f>
        <v>0.19</v>
      </c>
      <c r="O25" s="24">
        <f t="shared" si="18"/>
        <v>0.155</v>
      </c>
      <c r="P25" s="24" t="e">
        <f t="shared" si="18"/>
        <v>#REF!</v>
      </c>
      <c r="Q25" s="24" t="e">
        <f t="shared" si="18"/>
        <v>#REF!</v>
      </c>
      <c r="R25" s="24" t="e">
        <f t="shared" si="18"/>
        <v>#REF!</v>
      </c>
      <c r="S25" s="24" t="e">
        <f t="shared" si="18"/>
        <v>#REF!</v>
      </c>
      <c r="T25" s="24" t="e">
        <f t="shared" si="18"/>
        <v>#REF!</v>
      </c>
      <c r="U25" s="24" t="e">
        <f t="shared" si="18"/>
        <v>#REF!</v>
      </c>
      <c r="V25" s="51" t="e">
        <f>#REF!</f>
        <v>#REF!</v>
      </c>
      <c r="W25" s="21">
        <f>'[2]Annex 5 (Output 3)'!$R13</f>
        <v>14</v>
      </c>
      <c r="X25" s="21">
        <f>'[2]Annex 5 (Output 3)'!$W13</f>
        <v>14.5</v>
      </c>
      <c r="Y25" s="21">
        <f>'[2]Annex 5 (Output 3)'!$AB13</f>
        <v>14.5</v>
      </c>
      <c r="Z25" s="21">
        <v>18</v>
      </c>
      <c r="AA25" s="21" t="e">
        <f>#REF!</f>
        <v>#REF!</v>
      </c>
      <c r="AB25" s="122" t="e">
        <f>#REF!</f>
        <v>#REF!</v>
      </c>
      <c r="AC25" s="116" t="e">
        <f>#REF!</f>
        <v>#REF!</v>
      </c>
    </row>
    <row r="26" spans="1:37" ht="24.95" customHeight="1">
      <c r="A26" s="4"/>
      <c r="B26" s="19" t="s">
        <v>33</v>
      </c>
      <c r="C26" s="20" t="s">
        <v>62</v>
      </c>
      <c r="D26" s="41">
        <v>2</v>
      </c>
      <c r="E26" s="41">
        <v>0.28999999999999998</v>
      </c>
      <c r="F26" s="51">
        <f>'[2]Annex 5 (Output 3)'!N19</f>
        <v>0</v>
      </c>
      <c r="G26" s="21">
        <f>'[2]Annex 5 (Output 3)'!S19</f>
        <v>0</v>
      </c>
      <c r="H26" s="21">
        <f>'[2]Annex 5 (Output 3)'!X19</f>
        <v>9</v>
      </c>
      <c r="I26" s="23">
        <f>'[2]Annex 5 (Output 3)'!AC19</f>
        <v>10</v>
      </c>
      <c r="J26" s="23">
        <f t="shared" ref="J26:J31" si="19">I26</f>
        <v>10</v>
      </c>
      <c r="K26" s="23" t="e">
        <f>#REF!</f>
        <v>#REF!</v>
      </c>
      <c r="L26" s="23" t="e">
        <f>#REF!</f>
        <v>#REF!</v>
      </c>
      <c r="M26" s="48" t="e">
        <f>#REF!</f>
        <v>#REF!</v>
      </c>
      <c r="N26" s="43">
        <f t="shared" si="18"/>
        <v>0</v>
      </c>
      <c r="O26" s="24">
        <f t="shared" si="18"/>
        <v>0</v>
      </c>
      <c r="P26" s="24">
        <f t="shared" si="18"/>
        <v>0.18</v>
      </c>
      <c r="Q26" s="24">
        <f t="shared" si="18"/>
        <v>0.2</v>
      </c>
      <c r="R26" s="24">
        <f t="shared" si="18"/>
        <v>0.2</v>
      </c>
      <c r="S26" s="24" t="e">
        <f t="shared" si="18"/>
        <v>#REF!</v>
      </c>
      <c r="T26" s="24" t="e">
        <f t="shared" si="18"/>
        <v>#REF!</v>
      </c>
      <c r="U26" s="24" t="e">
        <f t="shared" si="18"/>
        <v>#REF!</v>
      </c>
      <c r="V26" s="51">
        <f>'[2]Annex 5 (Output 3)'!$M19</f>
        <v>0</v>
      </c>
      <c r="W26" s="21">
        <f>'[2]Annex 5 (Output 3)'!$R19</f>
        <v>0</v>
      </c>
      <c r="X26" s="21">
        <f>'[2]Annex 5 (Output 3)'!$W19</f>
        <v>18</v>
      </c>
      <c r="Y26" s="21">
        <f>'[2]Annex 5 (Output 3)'!$AB19</f>
        <v>20</v>
      </c>
      <c r="Z26" s="21">
        <f>Y26</f>
        <v>20</v>
      </c>
      <c r="AA26" s="21" t="e">
        <f>#REF!</f>
        <v>#REF!</v>
      </c>
      <c r="AB26" s="122" t="e">
        <f>#REF!</f>
        <v>#REF!</v>
      </c>
      <c r="AC26" s="116" t="e">
        <f>#REF!</f>
        <v>#REF!</v>
      </c>
    </row>
    <row r="27" spans="1:37" ht="24.95" customHeight="1">
      <c r="A27" s="4"/>
      <c r="B27" s="19" t="s">
        <v>34</v>
      </c>
      <c r="C27" s="20" t="s">
        <v>63</v>
      </c>
      <c r="D27" s="41">
        <v>2</v>
      </c>
      <c r="E27" s="41">
        <v>0.23</v>
      </c>
      <c r="F27" s="51">
        <f>'[2]Annex 5 (Output 3)'!N25</f>
        <v>5</v>
      </c>
      <c r="G27" s="21">
        <f>'[2]Annex 5 (Output 3)'!S25</f>
        <v>0</v>
      </c>
      <c r="H27" s="21">
        <f>'[2]Annex 5 (Output 3)'!X25</f>
        <v>0</v>
      </c>
      <c r="I27" s="23">
        <f>'[2]Annex 5 (Output 3)'!AC25</f>
        <v>4</v>
      </c>
      <c r="J27" s="23" t="e">
        <f>#REF!</f>
        <v>#REF!</v>
      </c>
      <c r="K27" s="23" t="e">
        <f>#REF!</f>
        <v>#REF!</v>
      </c>
      <c r="L27" s="23" t="e">
        <f>#REF!</f>
        <v>#REF!</v>
      </c>
      <c r="M27" s="48" t="e">
        <f>#REF!</f>
        <v>#REF!</v>
      </c>
      <c r="N27" s="43">
        <f t="shared" si="18"/>
        <v>0.1</v>
      </c>
      <c r="O27" s="24">
        <f t="shared" si="18"/>
        <v>0</v>
      </c>
      <c r="P27" s="24">
        <f t="shared" si="18"/>
        <v>0</v>
      </c>
      <c r="Q27" s="24">
        <f t="shared" si="18"/>
        <v>0.08</v>
      </c>
      <c r="R27" s="24" t="e">
        <f t="shared" si="18"/>
        <v>#REF!</v>
      </c>
      <c r="S27" s="24" t="e">
        <f t="shared" si="18"/>
        <v>#REF!</v>
      </c>
      <c r="T27" s="24" t="e">
        <f t="shared" si="18"/>
        <v>#REF!</v>
      </c>
      <c r="U27" s="24" t="e">
        <f t="shared" si="18"/>
        <v>#REF!</v>
      </c>
      <c r="V27" s="51">
        <f>'[2]Annex 5 (Output 3)'!$M25</f>
        <v>10</v>
      </c>
      <c r="W27" s="21">
        <f>'[2]Annex 5 (Output 3)'!$R25</f>
        <v>0</v>
      </c>
      <c r="X27" s="21">
        <f>'[2]Annex 5 (Output 3)'!$W25</f>
        <v>0</v>
      </c>
      <c r="Y27" s="21">
        <f>'[2]Annex 5 (Output 3)'!$AB25</f>
        <v>8</v>
      </c>
      <c r="Z27" s="21">
        <v>10</v>
      </c>
      <c r="AA27" s="21" t="e">
        <f>#REF!</f>
        <v>#REF!</v>
      </c>
      <c r="AB27" s="122" t="e">
        <f>#REF!</f>
        <v>#REF!</v>
      </c>
      <c r="AC27" s="116" t="e">
        <f>#REF!</f>
        <v>#REF!</v>
      </c>
    </row>
    <row r="28" spans="1:37" ht="24.95" customHeight="1">
      <c r="A28" s="4"/>
      <c r="B28" s="19" t="s">
        <v>35</v>
      </c>
      <c r="C28" s="20" t="s">
        <v>132</v>
      </c>
      <c r="D28" s="41">
        <v>2</v>
      </c>
      <c r="E28" s="41">
        <v>0.109</v>
      </c>
      <c r="F28" s="51">
        <f>'[2]Annex 5 (Output 3)'!N31</f>
        <v>0</v>
      </c>
      <c r="G28" s="21">
        <f>'[2]Annex 5 (Output 3)'!S31</f>
        <v>0</v>
      </c>
      <c r="H28" s="21" t="e">
        <f>#REF!</f>
        <v>#REF!</v>
      </c>
      <c r="I28" s="23" t="e">
        <f>#REF!</f>
        <v>#REF!</v>
      </c>
      <c r="J28" s="23" t="e">
        <f>#REF!</f>
        <v>#REF!</v>
      </c>
      <c r="K28" s="23" t="e">
        <f>#REF!</f>
        <v>#REF!</v>
      </c>
      <c r="L28" s="23" t="e">
        <f>#REF!</f>
        <v>#REF!</v>
      </c>
      <c r="M28" s="48" t="e">
        <f>#REF!</f>
        <v>#REF!</v>
      </c>
      <c r="N28" s="43">
        <f t="shared" si="18"/>
        <v>0</v>
      </c>
      <c r="O28" s="24">
        <f t="shared" si="18"/>
        <v>0</v>
      </c>
      <c r="P28" s="24" t="e">
        <f t="shared" si="18"/>
        <v>#REF!</v>
      </c>
      <c r="Q28" s="24" t="e">
        <f t="shared" si="18"/>
        <v>#REF!</v>
      </c>
      <c r="R28" s="24" t="e">
        <f t="shared" si="18"/>
        <v>#REF!</v>
      </c>
      <c r="S28" s="24" t="e">
        <f t="shared" si="18"/>
        <v>#REF!</v>
      </c>
      <c r="T28" s="24" t="e">
        <f t="shared" si="18"/>
        <v>#REF!</v>
      </c>
      <c r="U28" s="24" t="e">
        <f t="shared" si="18"/>
        <v>#REF!</v>
      </c>
      <c r="V28" s="51">
        <f>'[2]Annex 5 (Output 3)'!$M31</f>
        <v>0</v>
      </c>
      <c r="W28" s="21">
        <f>'[2]Annex 5 (Output 3)'!$R31</f>
        <v>0</v>
      </c>
      <c r="X28" s="21">
        <f>'[2]Annex 5 (Output 3)'!$W31</f>
        <v>0</v>
      </c>
      <c r="Y28" s="21" t="e">
        <f>#REF!</f>
        <v>#REF!</v>
      </c>
      <c r="Z28" s="21" t="e">
        <f>#REF!</f>
        <v>#REF!</v>
      </c>
      <c r="AA28" s="21" t="e">
        <f>#REF!</f>
        <v>#REF!</v>
      </c>
      <c r="AB28" s="122" t="e">
        <f>#REF!</f>
        <v>#REF!</v>
      </c>
      <c r="AC28" s="116" t="e">
        <f>#REF!</f>
        <v>#REF!</v>
      </c>
    </row>
    <row r="29" spans="1:37" ht="24.95" customHeight="1">
      <c r="A29" s="4"/>
      <c r="B29" s="19" t="s">
        <v>36</v>
      </c>
      <c r="C29" s="20" t="s">
        <v>131</v>
      </c>
      <c r="D29" s="41">
        <v>2</v>
      </c>
      <c r="E29" s="41">
        <v>0.09</v>
      </c>
      <c r="F29" s="51">
        <f>'[2]Annex 5 (Output 3)'!N37</f>
        <v>0</v>
      </c>
      <c r="G29" s="21">
        <f>'[2]Annex 5 (Output 3)'!S37</f>
        <v>0</v>
      </c>
      <c r="H29" s="21">
        <f>'[2]Annex 5 (Output 3)'!T37</f>
        <v>0</v>
      </c>
      <c r="I29" s="23">
        <f>'[2]Annex 5 (Output 3)'!AC37</f>
        <v>0</v>
      </c>
      <c r="J29" s="23">
        <f t="shared" si="19"/>
        <v>0</v>
      </c>
      <c r="K29" s="23" t="e">
        <f>#REF!</f>
        <v>#REF!</v>
      </c>
      <c r="L29" s="23" t="e">
        <f>#REF!</f>
        <v>#REF!</v>
      </c>
      <c r="M29" s="48" t="e">
        <f>#REF!</f>
        <v>#REF!</v>
      </c>
      <c r="N29" s="43">
        <f t="shared" si="18"/>
        <v>0</v>
      </c>
      <c r="O29" s="24">
        <f t="shared" si="18"/>
        <v>0</v>
      </c>
      <c r="P29" s="24">
        <f t="shared" si="18"/>
        <v>0</v>
      </c>
      <c r="Q29" s="24">
        <f t="shared" si="18"/>
        <v>0</v>
      </c>
      <c r="R29" s="24">
        <f t="shared" si="18"/>
        <v>0</v>
      </c>
      <c r="S29" s="24" t="e">
        <f t="shared" si="18"/>
        <v>#REF!</v>
      </c>
      <c r="T29" s="24" t="e">
        <f t="shared" si="18"/>
        <v>#REF!</v>
      </c>
      <c r="U29" s="24" t="e">
        <f t="shared" si="18"/>
        <v>#REF!</v>
      </c>
      <c r="V29" s="51">
        <f>'[2]Annex 5 (Output 3)'!$M37</f>
        <v>0</v>
      </c>
      <c r="W29" s="21">
        <f>'[2]Annex 5 (Output 3)'!$R37</f>
        <v>0</v>
      </c>
      <c r="X29" s="21">
        <f>'[2]Annex 5 (Output 3)'!$W37</f>
        <v>0</v>
      </c>
      <c r="Y29" s="21">
        <f>'[2]Annex 5 (Output 3)'!$AB37</f>
        <v>0</v>
      </c>
      <c r="Z29" s="21">
        <v>0</v>
      </c>
      <c r="AA29" s="21" t="e">
        <f>#REF!</f>
        <v>#REF!</v>
      </c>
      <c r="AB29" s="122" t="e">
        <f>#REF!</f>
        <v>#REF!</v>
      </c>
      <c r="AC29" s="116" t="e">
        <f>#REF!</f>
        <v>#REF!</v>
      </c>
    </row>
    <row r="30" spans="1:37" ht="24.95" customHeight="1">
      <c r="A30" s="4"/>
      <c r="B30" s="19" t="s">
        <v>37</v>
      </c>
      <c r="C30" s="20" t="s">
        <v>133</v>
      </c>
      <c r="D30" s="41">
        <v>2</v>
      </c>
      <c r="E30" s="41">
        <v>0.09</v>
      </c>
      <c r="F30" s="51">
        <f>'[2]Annex 5 (Output 3)'!N41</f>
        <v>0</v>
      </c>
      <c r="G30" s="21">
        <f>'[2]Annex 5 (Output 3)'!S41</f>
        <v>0</v>
      </c>
      <c r="H30" s="21">
        <f>'[2]Annex 5 (Output 3)'!T41</f>
        <v>0</v>
      </c>
      <c r="I30" s="23">
        <f>'[2]Annex 5 (Output 3)'!AC41</f>
        <v>0</v>
      </c>
      <c r="J30" s="23">
        <f t="shared" si="19"/>
        <v>0</v>
      </c>
      <c r="K30" s="23" t="e">
        <f>#REF!</f>
        <v>#REF!</v>
      </c>
      <c r="L30" s="23" t="e">
        <f>#REF!</f>
        <v>#REF!</v>
      </c>
      <c r="M30" s="48" t="e">
        <f>#REF!</f>
        <v>#REF!</v>
      </c>
      <c r="N30" s="43">
        <f t="shared" si="18"/>
        <v>0</v>
      </c>
      <c r="O30" s="24">
        <f t="shared" si="18"/>
        <v>0</v>
      </c>
      <c r="P30" s="24">
        <f t="shared" si="18"/>
        <v>0</v>
      </c>
      <c r="Q30" s="24">
        <f t="shared" si="18"/>
        <v>0</v>
      </c>
      <c r="R30" s="24">
        <f t="shared" si="18"/>
        <v>0</v>
      </c>
      <c r="S30" s="24" t="e">
        <f t="shared" si="18"/>
        <v>#REF!</v>
      </c>
      <c r="T30" s="24" t="e">
        <f t="shared" si="18"/>
        <v>#REF!</v>
      </c>
      <c r="U30" s="24" t="e">
        <f t="shared" si="18"/>
        <v>#REF!</v>
      </c>
      <c r="V30" s="51">
        <f>'[2]Annex 5 (Output 3)'!$M41</f>
        <v>0</v>
      </c>
      <c r="W30" s="21">
        <f>'[2]Annex 5 (Output 3)'!$R41</f>
        <v>0</v>
      </c>
      <c r="X30" s="21">
        <f>'[2]Annex 5 (Output 3)'!$W41</f>
        <v>0</v>
      </c>
      <c r="Y30" s="21">
        <f>'[2]Annex 5 (Output 3)'!$AB41</f>
        <v>0</v>
      </c>
      <c r="Z30" s="21">
        <v>0</v>
      </c>
      <c r="AA30" s="21" t="e">
        <f>#REF!</f>
        <v>#REF!</v>
      </c>
      <c r="AB30" s="122" t="e">
        <f>#REF!</f>
        <v>#REF!</v>
      </c>
      <c r="AC30" s="116" t="e">
        <f>#REF!</f>
        <v>#REF!</v>
      </c>
    </row>
    <row r="31" spans="1:37" ht="24.95" customHeight="1">
      <c r="A31" s="4"/>
      <c r="B31" s="19" t="s">
        <v>38</v>
      </c>
      <c r="C31" s="20" t="s">
        <v>18</v>
      </c>
      <c r="D31" s="41">
        <v>3</v>
      </c>
      <c r="E31" s="41">
        <v>0.20799999999999999</v>
      </c>
      <c r="F31" s="51">
        <f>'[2]Annex 5 (Output 3)'!N45</f>
        <v>4.3499999999999996</v>
      </c>
      <c r="G31" s="21">
        <f>'[2]Annex 5 (Output 3)'!S45</f>
        <v>4.125</v>
      </c>
      <c r="H31" s="21">
        <f>'[2]Annex 5 (Output 3)'!X45</f>
        <v>6.6</v>
      </c>
      <c r="I31" s="23">
        <f>'[2]Annex 5 (Output 3)'!AC45</f>
        <v>6.6</v>
      </c>
      <c r="J31" s="23">
        <f t="shared" si="19"/>
        <v>6.6</v>
      </c>
      <c r="K31" s="23" t="e">
        <f>#REF!</f>
        <v>#REF!</v>
      </c>
      <c r="L31" s="23" t="e">
        <f>#REF!</f>
        <v>#REF!</v>
      </c>
      <c r="M31" s="48" t="e">
        <f>#REF!</f>
        <v>#REF!</v>
      </c>
      <c r="N31" s="43">
        <f t="shared" si="18"/>
        <v>0.13049999999999998</v>
      </c>
      <c r="O31" s="24">
        <f t="shared" si="18"/>
        <v>0.12375</v>
      </c>
      <c r="P31" s="24">
        <f t="shared" si="18"/>
        <v>0.19799999999999998</v>
      </c>
      <c r="Q31" s="24">
        <f t="shared" si="18"/>
        <v>0.19799999999999998</v>
      </c>
      <c r="R31" s="24">
        <f t="shared" si="18"/>
        <v>0.19799999999999998</v>
      </c>
      <c r="S31" s="24" t="e">
        <f t="shared" si="18"/>
        <v>#REF!</v>
      </c>
      <c r="T31" s="24" t="e">
        <f t="shared" si="18"/>
        <v>#REF!</v>
      </c>
      <c r="U31" s="24" t="e">
        <f t="shared" si="18"/>
        <v>#REF!</v>
      </c>
      <c r="V31" s="51" t="e">
        <f>#REF!</f>
        <v>#REF!</v>
      </c>
      <c r="W31" s="21" t="e">
        <f>#REF!</f>
        <v>#REF!</v>
      </c>
      <c r="X31" s="21" t="e">
        <f>#REF!</f>
        <v>#REF!</v>
      </c>
      <c r="Y31" s="21" t="e">
        <f>#REF!</f>
        <v>#REF!</v>
      </c>
      <c r="Z31" s="21">
        <f>'[2]Annex 5 (Output 3)'!$AB45</f>
        <v>26.4</v>
      </c>
      <c r="AA31" s="21" t="e">
        <f>#REF!</f>
        <v>#REF!</v>
      </c>
      <c r="AB31" s="122" t="e">
        <f>#REF!</f>
        <v>#REF!</v>
      </c>
      <c r="AC31" s="116" t="e">
        <f>#REF!</f>
        <v>#REF!</v>
      </c>
    </row>
    <row r="32" spans="1:37" ht="24.95" customHeight="1">
      <c r="A32" s="4"/>
      <c r="B32" s="100"/>
      <c r="C32" s="101" t="s">
        <v>6</v>
      </c>
      <c r="D32" s="36">
        <f>SUM(D25:D31)</f>
        <v>15</v>
      </c>
      <c r="E32" s="36">
        <f>SUM(E25:E31)</f>
        <v>1.397</v>
      </c>
      <c r="F32" s="49" t="s">
        <v>4</v>
      </c>
      <c r="G32" s="25" t="s">
        <v>4</v>
      </c>
      <c r="H32" s="25" t="e">
        <f t="shared" ref="H32:Q32" si="20">SUM(H25:H31)</f>
        <v>#REF!</v>
      </c>
      <c r="I32" s="25" t="e">
        <f t="shared" si="20"/>
        <v>#REF!</v>
      </c>
      <c r="J32" s="25" t="e">
        <f t="shared" ref="J32:K32" si="21">SUM(J25:J31)</f>
        <v>#REF!</v>
      </c>
      <c r="K32" s="25" t="e">
        <f t="shared" si="21"/>
        <v>#REF!</v>
      </c>
      <c r="L32" s="25" t="e">
        <f t="shared" ref="L32:M32" si="22">SUM(L25:L31)</f>
        <v>#REF!</v>
      </c>
      <c r="M32" s="50" t="e">
        <f t="shared" si="22"/>
        <v>#REF!</v>
      </c>
      <c r="N32" s="44">
        <f t="shared" si="20"/>
        <v>0.42049999999999998</v>
      </c>
      <c r="O32" s="25">
        <f t="shared" si="20"/>
        <v>0.27875</v>
      </c>
      <c r="P32" s="25" t="e">
        <f t="shared" si="20"/>
        <v>#REF!</v>
      </c>
      <c r="Q32" s="25" t="e">
        <f t="shared" si="20"/>
        <v>#REF!</v>
      </c>
      <c r="R32" s="25" t="e">
        <f t="shared" ref="R32:S32" si="23">SUM(R25:R31)</f>
        <v>#REF!</v>
      </c>
      <c r="S32" s="25" t="e">
        <f t="shared" si="23"/>
        <v>#REF!</v>
      </c>
      <c r="T32" s="25" t="e">
        <f t="shared" ref="T32" si="24">SUM(T25:T31)</f>
        <v>#REF!</v>
      </c>
      <c r="U32" s="25" t="e">
        <f t="shared" ref="U32" si="25">SUM(U25:U31)</f>
        <v>#REF!</v>
      </c>
      <c r="V32" s="49" t="e">
        <f>SUM(V25:V31)/5</f>
        <v>#REF!</v>
      </c>
      <c r="W32" s="25" t="e">
        <f t="shared" ref="W32:Y32" si="26">SUM(W25:W31)/5</f>
        <v>#REF!</v>
      </c>
      <c r="X32" s="25" t="e">
        <f t="shared" si="26"/>
        <v>#REF!</v>
      </c>
      <c r="Y32" s="25" t="e">
        <f t="shared" si="26"/>
        <v>#REF!</v>
      </c>
      <c r="Z32" s="25" t="e">
        <f t="shared" ref="Z32:AA32" si="27">SUM(Z25:Z31)/5</f>
        <v>#REF!</v>
      </c>
      <c r="AA32" s="25" t="e">
        <f t="shared" si="27"/>
        <v>#REF!</v>
      </c>
      <c r="AB32" s="25" t="e">
        <f t="shared" ref="AB32:AC32" si="28">SUM(AB25:AB31)/5</f>
        <v>#REF!</v>
      </c>
      <c r="AC32" s="105" t="e">
        <f t="shared" si="28"/>
        <v>#REF!</v>
      </c>
    </row>
    <row r="33" spans="1:29" ht="24.95" customHeight="1" thickBot="1">
      <c r="A33" s="4"/>
      <c r="B33" s="1520" t="s">
        <v>9</v>
      </c>
      <c r="C33" s="1521"/>
      <c r="D33" s="37">
        <f>D32+D23+D15</f>
        <v>100</v>
      </c>
      <c r="E33" s="37">
        <f>E32+E23+E15</f>
        <v>11.974</v>
      </c>
      <c r="F33" s="39" t="s">
        <v>4</v>
      </c>
      <c r="G33" s="29" t="s">
        <v>4</v>
      </c>
      <c r="H33" s="29" t="e">
        <f t="shared" ref="H33:V33" si="29">H32+H23+H15</f>
        <v>#REF!</v>
      </c>
      <c r="I33" s="29" t="e">
        <f t="shared" si="29"/>
        <v>#REF!</v>
      </c>
      <c r="J33" s="29" t="e">
        <f t="shared" ref="J33:K33" si="30">J32+J23+J15</f>
        <v>#REF!</v>
      </c>
      <c r="K33" s="29" t="e">
        <f t="shared" si="30"/>
        <v>#REF!</v>
      </c>
      <c r="L33" s="29" t="e">
        <f t="shared" ref="L33:M33" si="31">L32+L23+L15</f>
        <v>#REF!</v>
      </c>
      <c r="M33" s="126" t="e">
        <f t="shared" si="31"/>
        <v>#REF!</v>
      </c>
      <c r="N33" s="45">
        <f t="shared" si="29"/>
        <v>2.0334181944444443</v>
      </c>
      <c r="O33" s="30">
        <f t="shared" si="29"/>
        <v>5.5687028611111105</v>
      </c>
      <c r="P33" s="29" t="e">
        <f t="shared" si="29"/>
        <v>#REF!</v>
      </c>
      <c r="Q33" s="29" t="e">
        <f t="shared" si="29"/>
        <v>#REF!</v>
      </c>
      <c r="R33" s="29" t="e">
        <f t="shared" ref="R33:S33" si="32">R32+R23+R15</f>
        <v>#REF!</v>
      </c>
      <c r="S33" s="29" t="e">
        <f t="shared" si="32"/>
        <v>#REF!</v>
      </c>
      <c r="T33" s="29" t="e">
        <f t="shared" ref="T33" si="33">T32+T23+T15</f>
        <v>#REF!</v>
      </c>
      <c r="U33" s="29" t="e">
        <f t="shared" ref="U33" si="34">U32+U23+U15</f>
        <v>#REF!</v>
      </c>
      <c r="V33" s="39" t="e">
        <f t="shared" si="29"/>
        <v>#REF!</v>
      </c>
      <c r="W33" s="29" t="e">
        <f t="shared" ref="W33:AB33" si="35">(W32+W23+W15)/3</f>
        <v>#REF!</v>
      </c>
      <c r="X33" s="29" t="e">
        <f t="shared" si="35"/>
        <v>#REF!</v>
      </c>
      <c r="Y33" s="29" t="e">
        <f t="shared" si="35"/>
        <v>#REF!</v>
      </c>
      <c r="Z33" s="29" t="e">
        <f t="shared" si="35"/>
        <v>#REF!</v>
      </c>
      <c r="AA33" s="29" t="e">
        <f t="shared" si="35"/>
        <v>#REF!</v>
      </c>
      <c r="AB33" s="29" t="e">
        <f t="shared" si="35"/>
        <v>#REF!</v>
      </c>
      <c r="AC33" s="40" t="e">
        <f t="shared" ref="AC33" si="36">(AC32+AC23+AC15)/3</f>
        <v>#REF!</v>
      </c>
    </row>
    <row r="34" spans="1:29" ht="16.5" thickTop="1" thickBot="1">
      <c r="A34" s="3"/>
      <c r="B34" s="2"/>
      <c r="C34" s="5"/>
      <c r="D34" s="6"/>
      <c r="E34" s="6"/>
      <c r="F34" s="6"/>
      <c r="G34" s="6"/>
      <c r="H34" s="6"/>
      <c r="I34" s="7"/>
      <c r="J34" s="7"/>
      <c r="K34" s="7"/>
      <c r="L34" s="7"/>
      <c r="M34" s="7"/>
      <c r="N34" s="7"/>
      <c r="O34" s="7"/>
      <c r="P34" s="7"/>
      <c r="Q34" s="8" t="s">
        <v>4</v>
      </c>
      <c r="R34" s="8"/>
      <c r="S34" s="8"/>
      <c r="T34" s="8"/>
      <c r="U34" s="8"/>
      <c r="V34" s="123"/>
      <c r="W34" s="123"/>
      <c r="X34" s="123"/>
      <c r="Y34" s="123"/>
      <c r="Z34" s="123"/>
      <c r="AA34" s="123"/>
      <c r="AB34" s="123"/>
      <c r="AC34" s="123"/>
    </row>
    <row r="35" spans="1:29" ht="39.950000000000003" customHeight="1" thickTop="1">
      <c r="A35" s="4"/>
      <c r="B35" s="1518" t="s">
        <v>84</v>
      </c>
      <c r="C35" s="97" t="s">
        <v>121</v>
      </c>
      <c r="D35" s="73">
        <f>+D11+D12+D13+D14</f>
        <v>30</v>
      </c>
      <c r="E35" s="73">
        <f>+E11+E12+E13+E14</f>
        <v>3.8260000000000001</v>
      </c>
      <c r="F35" s="70">
        <f t="shared" ref="F35:L35" si="37">((F9*AD34/100))+F11+F12+F13+F14</f>
        <v>5.6708749999999997</v>
      </c>
      <c r="G35" s="14">
        <f t="shared" si="37"/>
        <v>30.554166666666667</v>
      </c>
      <c r="H35" s="14">
        <f t="shared" si="37"/>
        <v>31.5</v>
      </c>
      <c r="I35" s="14">
        <f t="shared" si="37"/>
        <v>31.51</v>
      </c>
      <c r="J35" s="14" t="e">
        <f t="shared" si="37"/>
        <v>#REF!</v>
      </c>
      <c r="K35" s="14" t="e">
        <f t="shared" si="37"/>
        <v>#REF!</v>
      </c>
      <c r="L35" s="14" t="e">
        <f t="shared" si="37"/>
        <v>#REF!</v>
      </c>
      <c r="M35" s="124"/>
      <c r="N35" s="55">
        <f t="shared" ref="N35:Q35" si="38">((N9*$AD34/100))+N11+N12+N13+N14</f>
        <v>0.33979375000000001</v>
      </c>
      <c r="O35" s="9">
        <f t="shared" si="38"/>
        <v>2.3777083333333331</v>
      </c>
      <c r="P35" s="9">
        <f t="shared" si="38"/>
        <v>2.4250000000000003</v>
      </c>
      <c r="Q35" s="9">
        <f t="shared" si="38"/>
        <v>2.4255</v>
      </c>
      <c r="R35" s="9" t="e">
        <f t="shared" ref="R35:S35" si="39">((R9*$AD34/100))+R11+R12+R13+R14</f>
        <v>#REF!</v>
      </c>
      <c r="S35" s="9" t="e">
        <f t="shared" si="39"/>
        <v>#REF!</v>
      </c>
      <c r="T35" s="9" t="e">
        <f t="shared" ref="T35" si="40">((T9*$AD34/100))+T11+T12+T13+T14</f>
        <v>#REF!</v>
      </c>
      <c r="U35" s="9" t="e">
        <f t="shared" ref="U35" si="41">((U9*$AD34/100))+U11+U12+U13+U14</f>
        <v>#REF!</v>
      </c>
      <c r="V35" s="55">
        <f t="shared" ref="V35:X35" si="42">(V11+V13+V12+V14)/4</f>
        <v>2.21475</v>
      </c>
      <c r="W35" s="9">
        <f t="shared" si="42"/>
        <v>12.1517</v>
      </c>
      <c r="X35" s="9">
        <f t="shared" si="42"/>
        <v>13.028499999999999</v>
      </c>
      <c r="Y35" s="9">
        <f>(Y11+Y13+Y12+Y14)/4</f>
        <v>13.0885</v>
      </c>
      <c r="Z35" s="9" t="e">
        <f>(Z11+Z13+Z12+Z14)/4</f>
        <v>#REF!</v>
      </c>
      <c r="AA35" s="9" t="e">
        <f>(AA11+AA13+AA12+AA14)/4</f>
        <v>#REF!</v>
      </c>
      <c r="AB35" s="9" t="e">
        <f>(AB11+AB13+AB12+AB14)/4</f>
        <v>#REF!</v>
      </c>
      <c r="AC35" s="110" t="e">
        <f>(AC11+AC13+AC12+AC14)/4</f>
        <v>#REF!</v>
      </c>
    </row>
    <row r="36" spans="1:29" ht="39.950000000000003" customHeight="1">
      <c r="A36" s="4"/>
      <c r="B36" s="1519"/>
      <c r="C36" s="98" t="s">
        <v>122</v>
      </c>
      <c r="D36" s="74">
        <f>D8</f>
        <v>15</v>
      </c>
      <c r="E36" s="74">
        <f>E8</f>
        <v>1.508</v>
      </c>
      <c r="F36" s="71">
        <f>F8+((F9*$AF34/100))</f>
        <v>0.8607407407407407</v>
      </c>
      <c r="G36" s="15">
        <f t="shared" ref="G36:Q36" si="43">G8+((G9*$AF34/100))</f>
        <v>3.5340000000000003</v>
      </c>
      <c r="H36" s="15">
        <f t="shared" si="43"/>
        <v>5.6147407407407401</v>
      </c>
      <c r="I36" s="15">
        <f t="shared" si="43"/>
        <v>7.1303674074074079</v>
      </c>
      <c r="J36" s="15" t="e">
        <f t="shared" ref="J36:K36" si="44">J8+((J9*$AF34/100))</f>
        <v>#REF!</v>
      </c>
      <c r="K36" s="59" t="e">
        <f t="shared" si="44"/>
        <v>#REF!</v>
      </c>
      <c r="L36" s="15" t="e">
        <f t="shared" ref="L36" si="45">L8+((L9*$AF34/100))</f>
        <v>#REF!</v>
      </c>
      <c r="M36" s="125"/>
      <c r="N36" s="56">
        <f t="shared" si="43"/>
        <v>0.12911111111111109</v>
      </c>
      <c r="O36" s="10">
        <f t="shared" si="43"/>
        <v>0.53010000000000002</v>
      </c>
      <c r="P36" s="10">
        <f t="shared" si="43"/>
        <v>0.84221111111111102</v>
      </c>
      <c r="Q36" s="10">
        <f t="shared" si="43"/>
        <v>1.0695551111111112</v>
      </c>
      <c r="R36" s="10" t="e">
        <f t="shared" ref="R36:S36" si="46">R8+((R9*$AF34/100))</f>
        <v>#REF!</v>
      </c>
      <c r="S36" s="10" t="e">
        <f t="shared" si="46"/>
        <v>#REF!</v>
      </c>
      <c r="T36" s="10" t="e">
        <f t="shared" ref="T36" si="47">T8+((T9*$AF34/100))</f>
        <v>#REF!</v>
      </c>
      <c r="U36" s="10" t="e">
        <f t="shared" ref="U36" si="48">U8+((U9*$AF34/100))</f>
        <v>#REF!</v>
      </c>
      <c r="V36" s="56">
        <f t="shared" ref="V36:AA36" si="49">V8</f>
        <v>2.4444444444444446</v>
      </c>
      <c r="W36" s="10">
        <f t="shared" si="49"/>
        <v>11.813888888888888</v>
      </c>
      <c r="X36" s="10">
        <f t="shared" si="49"/>
        <v>17.706234567901234</v>
      </c>
      <c r="Y36" s="10">
        <f t="shared" si="49"/>
        <v>24.023617283950621</v>
      </c>
      <c r="Z36" s="10" t="e">
        <f t="shared" si="49"/>
        <v>#REF!</v>
      </c>
      <c r="AA36" s="10" t="e">
        <f t="shared" si="49"/>
        <v>#REF!</v>
      </c>
      <c r="AB36" s="10" t="e">
        <f t="shared" ref="AB36:AC36" si="50">AB8</f>
        <v>#REF!</v>
      </c>
      <c r="AC36" s="111" t="e">
        <f t="shared" si="50"/>
        <v>#REF!</v>
      </c>
    </row>
    <row r="37" spans="1:29" ht="39.950000000000003" customHeight="1">
      <c r="A37" s="4"/>
      <c r="B37" s="1519"/>
      <c r="C37" s="98" t="s">
        <v>123</v>
      </c>
      <c r="D37" s="74">
        <f>D10</f>
        <v>15</v>
      </c>
      <c r="E37" s="74">
        <f>E10</f>
        <v>2.1070000000000002</v>
      </c>
      <c r="F37" s="32">
        <f t="shared" ref="F37:Q37" si="51">F10</f>
        <v>1.7086999999999999</v>
      </c>
      <c r="G37" s="10">
        <f t="shared" si="51"/>
        <v>5.3843200000000007</v>
      </c>
      <c r="H37" s="10">
        <f t="shared" si="51"/>
        <v>6.8472000000000008</v>
      </c>
      <c r="I37" s="10">
        <f t="shared" si="51"/>
        <v>8.1080000000000005</v>
      </c>
      <c r="J37" s="10" t="e">
        <f t="shared" ref="J37:K37" si="52">J10</f>
        <v>#REF!</v>
      </c>
      <c r="K37" s="52" t="e">
        <f t="shared" si="52"/>
        <v>#REF!</v>
      </c>
      <c r="L37" s="10" t="e">
        <f t="shared" ref="L37" si="53">L10</f>
        <v>#REF!</v>
      </c>
      <c r="M37" s="60"/>
      <c r="N37" s="56">
        <f t="shared" si="51"/>
        <v>0.25630500000000001</v>
      </c>
      <c r="O37" s="10">
        <f t="shared" si="51"/>
        <v>0.80764800000000003</v>
      </c>
      <c r="P37" s="10">
        <f t="shared" si="51"/>
        <v>1.0270800000000002</v>
      </c>
      <c r="Q37" s="10">
        <f t="shared" si="51"/>
        <v>1.2161999999999999</v>
      </c>
      <c r="R37" s="10" t="e">
        <f t="shared" ref="R37:S38" si="54">R10</f>
        <v>#REF!</v>
      </c>
      <c r="S37" s="10" t="e">
        <f t="shared" si="54"/>
        <v>#REF!</v>
      </c>
      <c r="T37" s="10" t="e">
        <f t="shared" ref="T37" si="55">T10</f>
        <v>#REF!</v>
      </c>
      <c r="U37" s="10" t="e">
        <f t="shared" ref="U37" si="56">U10</f>
        <v>#REF!</v>
      </c>
      <c r="V37" s="56">
        <f t="shared" ref="V37:AA38" si="57">V10</f>
        <v>6.286607799852832</v>
      </c>
      <c r="W37" s="10">
        <f t="shared" si="57"/>
        <v>20.903142508676478</v>
      </c>
      <c r="X37" s="10">
        <f t="shared" si="57"/>
        <v>27.9494794111001</v>
      </c>
      <c r="Y37" s="10">
        <f t="shared" si="57"/>
        <v>33.139669627389296</v>
      </c>
      <c r="Z37" s="10" t="e">
        <f t="shared" si="57"/>
        <v>#REF!</v>
      </c>
      <c r="AA37" s="10" t="e">
        <f t="shared" si="57"/>
        <v>#REF!</v>
      </c>
      <c r="AB37" s="10" t="e">
        <f t="shared" ref="AB37:AC37" si="58">AB10</f>
        <v>#REF!</v>
      </c>
      <c r="AC37" s="111" t="e">
        <f t="shared" si="58"/>
        <v>#REF!</v>
      </c>
    </row>
    <row r="38" spans="1:29" ht="39.950000000000003" customHeight="1">
      <c r="A38" s="4"/>
      <c r="B38" s="1519"/>
      <c r="C38" s="98" t="s">
        <v>124</v>
      </c>
      <c r="D38" s="74">
        <f>D9</f>
        <v>5</v>
      </c>
      <c r="E38" s="74">
        <f>E9</f>
        <v>0.20699999999999999</v>
      </c>
      <c r="F38" s="32">
        <f t="shared" ref="F38:I38" si="59">F9</f>
        <v>0</v>
      </c>
      <c r="G38" s="10">
        <f t="shared" si="59"/>
        <v>0.35104166666666664</v>
      </c>
      <c r="H38" s="10">
        <f t="shared" si="59"/>
        <v>0.75104166666666672</v>
      </c>
      <c r="I38" s="10">
        <f t="shared" si="59"/>
        <v>0.75104166666666672</v>
      </c>
      <c r="J38" s="10" t="e">
        <f t="shared" ref="J38:K38" si="60">J9</f>
        <v>#REF!</v>
      </c>
      <c r="K38" s="52" t="e">
        <f t="shared" si="60"/>
        <v>#REF!</v>
      </c>
      <c r="L38" s="10" t="e">
        <f t="shared" ref="L38" si="61">L9</f>
        <v>#REF!</v>
      </c>
      <c r="M38" s="60"/>
      <c r="N38" s="56">
        <f>N9</f>
        <v>0</v>
      </c>
      <c r="O38" s="10">
        <f>O9</f>
        <v>1.7552083333333333E-2</v>
      </c>
      <c r="P38" s="10">
        <f>P9</f>
        <v>3.7552083333333333E-2</v>
      </c>
      <c r="Q38" s="10">
        <f>Q9</f>
        <v>3.7552083333333333E-2</v>
      </c>
      <c r="R38" s="10" t="e">
        <f t="shared" si="54"/>
        <v>#REF!</v>
      </c>
      <c r="S38" s="10" t="e">
        <f t="shared" si="54"/>
        <v>#REF!</v>
      </c>
      <c r="T38" s="10" t="e">
        <f>T9</f>
        <v>#REF!</v>
      </c>
      <c r="U38" s="10" t="e">
        <f>U9</f>
        <v>#REF!</v>
      </c>
      <c r="V38" s="56">
        <f t="shared" si="57"/>
        <v>2.25</v>
      </c>
      <c r="W38" s="10">
        <f t="shared" si="57"/>
        <v>34</v>
      </c>
      <c r="X38" s="10">
        <f t="shared" si="57"/>
        <v>34</v>
      </c>
      <c r="Y38" s="10">
        <f t="shared" si="57"/>
        <v>34</v>
      </c>
      <c r="Z38" s="10" t="e">
        <f t="shared" si="57"/>
        <v>#REF!</v>
      </c>
      <c r="AA38" s="10" t="e">
        <f t="shared" si="57"/>
        <v>#REF!</v>
      </c>
      <c r="AB38" s="10" t="e">
        <f t="shared" ref="AB38:AC38" si="62">AB11</f>
        <v>#REF!</v>
      </c>
      <c r="AC38" s="111" t="e">
        <f t="shared" si="62"/>
        <v>#REF!</v>
      </c>
    </row>
    <row r="39" spans="1:29" ht="39.950000000000003" customHeight="1">
      <c r="A39" s="4"/>
      <c r="B39" s="1519"/>
      <c r="C39" s="99" t="s">
        <v>125</v>
      </c>
      <c r="D39" s="75">
        <f>SUM(D35:D38)</f>
        <v>65</v>
      </c>
      <c r="E39" s="75">
        <f>SUM(E35:E38)</f>
        <v>7.6479999999999997</v>
      </c>
      <c r="F39" s="72"/>
      <c r="G39" s="12"/>
      <c r="H39" s="12"/>
      <c r="I39" s="12"/>
      <c r="J39" s="12"/>
      <c r="K39" s="53"/>
      <c r="L39" s="12"/>
      <c r="M39" s="61"/>
      <c r="N39" s="57">
        <f t="shared" ref="N39:O39" si="63">SUM(N35:N38)</f>
        <v>0.72520986111111108</v>
      </c>
      <c r="O39" s="12">
        <f t="shared" si="63"/>
        <v>3.7330084166666664</v>
      </c>
      <c r="P39" s="12">
        <f t="shared" ref="P39:U39" si="64">SUM(P35:P38)</f>
        <v>4.3318431944444438</v>
      </c>
      <c r="Q39" s="12">
        <f t="shared" si="64"/>
        <v>4.7488071944444439</v>
      </c>
      <c r="R39" s="12" t="e">
        <f t="shared" si="64"/>
        <v>#REF!</v>
      </c>
      <c r="S39" s="12" t="e">
        <f t="shared" si="64"/>
        <v>#REF!</v>
      </c>
      <c r="T39" s="12" t="e">
        <f t="shared" si="64"/>
        <v>#REF!</v>
      </c>
      <c r="U39" s="12" t="e">
        <f t="shared" si="64"/>
        <v>#REF!</v>
      </c>
      <c r="V39" s="57">
        <f t="shared" ref="V39:AA39" si="65">SUM(V35:V38)/4</f>
        <v>3.2989505610743191</v>
      </c>
      <c r="W39" s="12">
        <f t="shared" si="65"/>
        <v>19.717182849391342</v>
      </c>
      <c r="X39" s="12">
        <f t="shared" si="65"/>
        <v>23.171053494750332</v>
      </c>
      <c r="Y39" s="12">
        <f t="shared" si="65"/>
        <v>26.06294672783498</v>
      </c>
      <c r="Z39" s="12" t="e">
        <f t="shared" si="65"/>
        <v>#REF!</v>
      </c>
      <c r="AA39" s="12" t="e">
        <f t="shared" si="65"/>
        <v>#REF!</v>
      </c>
      <c r="AB39" s="12" t="e">
        <f t="shared" ref="AB39:AC39" si="66">SUM(AB35:AB38)/4</f>
        <v>#REF!</v>
      </c>
      <c r="AC39" s="112" t="e">
        <f t="shared" si="66"/>
        <v>#REF!</v>
      </c>
    </row>
    <row r="40" spans="1:29" ht="39.950000000000003" customHeight="1">
      <c r="A40" s="4"/>
      <c r="B40" s="1519" t="s">
        <v>85</v>
      </c>
      <c r="C40" s="98" t="s">
        <v>117</v>
      </c>
      <c r="D40" s="74">
        <f>D17+D18+D21+D22</f>
        <v>14</v>
      </c>
      <c r="E40" s="74">
        <f>E17+E18+E21+E22</f>
        <v>2.266</v>
      </c>
      <c r="F40" s="32">
        <f t="shared" ref="F40:Q40" si="67">F17+F18+F21+F22</f>
        <v>24.4375</v>
      </c>
      <c r="G40" s="10">
        <f t="shared" si="67"/>
        <v>46.375</v>
      </c>
      <c r="H40" s="10">
        <f t="shared" si="67"/>
        <v>48.25</v>
      </c>
      <c r="I40" s="10">
        <v>0</v>
      </c>
      <c r="J40" s="10" t="e">
        <f t="shared" ref="J40:K40" si="68">J17+J18+J21+J22</f>
        <v>#REF!</v>
      </c>
      <c r="K40" s="52" t="e">
        <f t="shared" si="68"/>
        <v>#REF!</v>
      </c>
      <c r="L40" s="10" t="e">
        <f t="shared" ref="L40" si="69">L17+L18+L21+L22</f>
        <v>#REF!</v>
      </c>
      <c r="M40" s="60"/>
      <c r="N40" s="56">
        <f t="shared" si="67"/>
        <v>0.84687500000000004</v>
      </c>
      <c r="O40" s="10">
        <f t="shared" si="67"/>
        <v>1.3625</v>
      </c>
      <c r="P40" s="10">
        <f t="shared" si="67"/>
        <v>1.4</v>
      </c>
      <c r="Q40" s="10" t="e">
        <f t="shared" si="67"/>
        <v>#REF!</v>
      </c>
      <c r="R40" s="10" t="e">
        <f t="shared" ref="R40:S40" si="70">R17+R18+R21+R22</f>
        <v>#REF!</v>
      </c>
      <c r="S40" s="10" t="e">
        <f t="shared" si="70"/>
        <v>#REF!</v>
      </c>
      <c r="T40" s="10" t="e">
        <f t="shared" ref="T40" si="71">T17+T18+T21+T22</f>
        <v>#REF!</v>
      </c>
      <c r="U40" s="10" t="e">
        <f t="shared" ref="U40" si="72">U17+U18+U21+U22</f>
        <v>#REF!</v>
      </c>
      <c r="V40" s="56">
        <f t="shared" ref="V40:Z40" si="73">(V17+V26+V21+V22)/4</f>
        <v>7.9375</v>
      </c>
      <c r="W40" s="10">
        <f t="shared" si="73"/>
        <v>22.875</v>
      </c>
      <c r="X40" s="10" t="e">
        <f t="shared" si="73"/>
        <v>#REF!</v>
      </c>
      <c r="Y40" s="10">
        <f t="shared" si="73"/>
        <v>41.125</v>
      </c>
      <c r="Z40" s="10" t="e">
        <f t="shared" si="73"/>
        <v>#REF!</v>
      </c>
      <c r="AA40" s="10" t="e">
        <f>(AA17+AA26+AA21+AA22)/4</f>
        <v>#REF!</v>
      </c>
      <c r="AB40" s="10" t="e">
        <f>(AB17+AB26+AB21+AB22)/4</f>
        <v>#REF!</v>
      </c>
      <c r="AC40" s="111" t="e">
        <f>(AC17+AC26+AC21+AC22)/4</f>
        <v>#REF!</v>
      </c>
    </row>
    <row r="41" spans="1:29" ht="39.950000000000003" customHeight="1">
      <c r="A41" s="4"/>
      <c r="B41" s="1519"/>
      <c r="C41" s="98" t="s">
        <v>118</v>
      </c>
      <c r="D41" s="74">
        <f>D19+D20</f>
        <v>6</v>
      </c>
      <c r="E41" s="74">
        <f>E19+E20</f>
        <v>0.66300000000000003</v>
      </c>
      <c r="F41" s="32">
        <f t="shared" ref="F41:Q41" si="74">F19+F20</f>
        <v>1.3611111111111112</v>
      </c>
      <c r="G41" s="10">
        <f t="shared" si="74"/>
        <v>6.481481481481481</v>
      </c>
      <c r="H41" s="10" t="e">
        <f t="shared" si="74"/>
        <v>#REF!</v>
      </c>
      <c r="I41" s="10">
        <v>0</v>
      </c>
      <c r="J41" s="10" t="e">
        <f t="shared" ref="J41:K41" si="75">J19+J20</f>
        <v>#REF!</v>
      </c>
      <c r="K41" s="52" t="e">
        <f t="shared" si="75"/>
        <v>#REF!</v>
      </c>
      <c r="L41" s="10" t="e">
        <f t="shared" ref="L41" si="76">L19+L20</f>
        <v>#REF!</v>
      </c>
      <c r="M41" s="60"/>
      <c r="N41" s="56">
        <f t="shared" si="74"/>
        <v>4.083333333333334E-2</v>
      </c>
      <c r="O41" s="10">
        <f t="shared" si="74"/>
        <v>0.19444444444444442</v>
      </c>
      <c r="P41" s="10" t="e">
        <f t="shared" si="74"/>
        <v>#REF!</v>
      </c>
      <c r="Q41" s="10" t="e">
        <f t="shared" si="74"/>
        <v>#REF!</v>
      </c>
      <c r="R41" s="10" t="e">
        <f t="shared" ref="R41:S41" si="77">R19+R20</f>
        <v>#REF!</v>
      </c>
      <c r="S41" s="10" t="e">
        <f t="shared" si="77"/>
        <v>#REF!</v>
      </c>
      <c r="T41" s="10" t="e">
        <f t="shared" ref="T41" si="78">T19+T20</f>
        <v>#REF!</v>
      </c>
      <c r="U41" s="10" t="e">
        <f t="shared" ref="U41" si="79">U19+U20</f>
        <v>#REF!</v>
      </c>
      <c r="V41" s="56">
        <f t="shared" ref="V41:Z41" si="80">(V19+V20)/2</f>
        <v>6.2</v>
      </c>
      <c r="W41" s="10">
        <f t="shared" si="80"/>
        <v>5</v>
      </c>
      <c r="X41" s="10">
        <f t="shared" si="80"/>
        <v>5.5</v>
      </c>
      <c r="Y41" s="10" t="e">
        <f t="shared" si="80"/>
        <v>#REF!</v>
      </c>
      <c r="Z41" s="10" t="e">
        <f t="shared" si="80"/>
        <v>#REF!</v>
      </c>
      <c r="AA41" s="10" t="e">
        <f>(AA19+AA20)/2</f>
        <v>#REF!</v>
      </c>
      <c r="AB41" s="10" t="e">
        <f>(AB19+AB20)/2</f>
        <v>#REF!</v>
      </c>
      <c r="AC41" s="111" t="e">
        <f>(AC19+AC20)/2</f>
        <v>#REF!</v>
      </c>
    </row>
    <row r="42" spans="1:29" ht="39.950000000000003" customHeight="1">
      <c r="A42" s="4"/>
      <c r="B42" s="1519"/>
      <c r="C42" s="99" t="s">
        <v>126</v>
      </c>
      <c r="D42" s="75">
        <f>D41+D40</f>
        <v>20</v>
      </c>
      <c r="E42" s="75">
        <f>E41+E40</f>
        <v>2.9290000000000003</v>
      </c>
      <c r="F42" s="72"/>
      <c r="G42" s="12"/>
      <c r="H42" s="12"/>
      <c r="I42" s="12"/>
      <c r="J42" s="12"/>
      <c r="K42" s="53"/>
      <c r="L42" s="12"/>
      <c r="M42" s="61"/>
      <c r="N42" s="57">
        <f t="shared" ref="N42:Q42" si="81">N41+N40</f>
        <v>0.88770833333333343</v>
      </c>
      <c r="O42" s="12">
        <f t="shared" si="81"/>
        <v>1.5569444444444445</v>
      </c>
      <c r="P42" s="12" t="e">
        <f t="shared" si="81"/>
        <v>#REF!</v>
      </c>
      <c r="Q42" s="12" t="e">
        <f t="shared" si="81"/>
        <v>#REF!</v>
      </c>
      <c r="R42" s="12" t="e">
        <f t="shared" ref="R42:S42" si="82">R41+R40</f>
        <v>#REF!</v>
      </c>
      <c r="S42" s="12" t="e">
        <f t="shared" si="82"/>
        <v>#REF!</v>
      </c>
      <c r="T42" s="12" t="e">
        <f t="shared" ref="T42" si="83">T41+T40</f>
        <v>#REF!</v>
      </c>
      <c r="U42" s="12" t="e">
        <f t="shared" ref="U42" si="84">U41+U40</f>
        <v>#REF!</v>
      </c>
      <c r="V42" s="57">
        <f t="shared" ref="V42:Z42" si="85">(V41+V40)/2</f>
        <v>7.0687499999999996</v>
      </c>
      <c r="W42" s="12">
        <f t="shared" si="85"/>
        <v>13.9375</v>
      </c>
      <c r="X42" s="12" t="e">
        <f t="shared" si="85"/>
        <v>#REF!</v>
      </c>
      <c r="Y42" s="12" t="e">
        <f t="shared" si="85"/>
        <v>#REF!</v>
      </c>
      <c r="Z42" s="12" t="e">
        <f t="shared" si="85"/>
        <v>#REF!</v>
      </c>
      <c r="AA42" s="12" t="e">
        <f>(AA41+AA40)/2</f>
        <v>#REF!</v>
      </c>
      <c r="AB42" s="12" t="e">
        <f>(AB41+AB40)/2</f>
        <v>#REF!</v>
      </c>
      <c r="AC42" s="112" t="e">
        <f>(AC41+AC40)/2</f>
        <v>#REF!</v>
      </c>
    </row>
    <row r="43" spans="1:29" ht="39.950000000000003" customHeight="1">
      <c r="A43" s="4"/>
      <c r="B43" s="1529" t="s">
        <v>119</v>
      </c>
      <c r="C43" s="1530"/>
      <c r="D43" s="103">
        <f>D32</f>
        <v>15</v>
      </c>
      <c r="E43" s="103">
        <f>E32</f>
        <v>1.397</v>
      </c>
      <c r="F43" s="72">
        <f>SUM(F25:F31)/6</f>
        <v>3.1416666666666671</v>
      </c>
      <c r="G43" s="12">
        <f>G31</f>
        <v>4.125</v>
      </c>
      <c r="H43" s="12" t="e">
        <f t="shared" ref="H43:Y43" si="86">H32</f>
        <v>#REF!</v>
      </c>
      <c r="I43" s="12" t="e">
        <f t="shared" si="86"/>
        <v>#REF!</v>
      </c>
      <c r="J43" s="12" t="e">
        <f t="shared" ref="J43:K43" si="87">J32</f>
        <v>#REF!</v>
      </c>
      <c r="K43" s="53" t="e">
        <f t="shared" si="87"/>
        <v>#REF!</v>
      </c>
      <c r="L43" s="12" t="e">
        <f t="shared" ref="L43" si="88">L32</f>
        <v>#REF!</v>
      </c>
      <c r="M43" s="61"/>
      <c r="N43" s="57">
        <f t="shared" si="86"/>
        <v>0.42049999999999998</v>
      </c>
      <c r="O43" s="12">
        <f t="shared" si="86"/>
        <v>0.27875</v>
      </c>
      <c r="P43" s="12" t="e">
        <f t="shared" si="86"/>
        <v>#REF!</v>
      </c>
      <c r="Q43" s="12" t="e">
        <f t="shared" si="86"/>
        <v>#REF!</v>
      </c>
      <c r="R43" s="12" t="e">
        <f t="shared" ref="R43:S43" si="89">R32</f>
        <v>#REF!</v>
      </c>
      <c r="S43" s="12" t="e">
        <f t="shared" si="89"/>
        <v>#REF!</v>
      </c>
      <c r="T43" s="12" t="e">
        <f t="shared" ref="T43" si="90">T32</f>
        <v>#REF!</v>
      </c>
      <c r="U43" s="12" t="e">
        <f t="shared" ref="U43" si="91">U32</f>
        <v>#REF!</v>
      </c>
      <c r="V43" s="57" t="e">
        <f t="shared" si="86"/>
        <v>#REF!</v>
      </c>
      <c r="W43" s="12" t="e">
        <f t="shared" si="86"/>
        <v>#REF!</v>
      </c>
      <c r="X43" s="12" t="e">
        <f t="shared" si="86"/>
        <v>#REF!</v>
      </c>
      <c r="Y43" s="12" t="e">
        <f t="shared" si="86"/>
        <v>#REF!</v>
      </c>
      <c r="Z43" s="12" t="e">
        <f t="shared" ref="Z43:AA43" si="92">Z32</f>
        <v>#REF!</v>
      </c>
      <c r="AA43" s="12" t="e">
        <f t="shared" si="92"/>
        <v>#REF!</v>
      </c>
      <c r="AB43" s="12" t="e">
        <f t="shared" ref="AB43:AC43" si="93">AB32</f>
        <v>#REF!</v>
      </c>
      <c r="AC43" s="112" t="e">
        <f t="shared" si="93"/>
        <v>#REF!</v>
      </c>
    </row>
    <row r="44" spans="1:29" ht="39.950000000000003" customHeight="1" thickBot="1">
      <c r="A44" s="4"/>
      <c r="B44" s="1516" t="s">
        <v>127</v>
      </c>
      <c r="C44" s="1517"/>
      <c r="D44" s="76">
        <f>D43+D42+D39</f>
        <v>100</v>
      </c>
      <c r="E44" s="76">
        <f>E43+E42+E39</f>
        <v>11.974</v>
      </c>
      <c r="F44" s="33" t="s">
        <v>4</v>
      </c>
      <c r="G44" s="11" t="s">
        <v>4</v>
      </c>
      <c r="H44" s="11"/>
      <c r="I44" s="11"/>
      <c r="J44" s="11"/>
      <c r="K44" s="54"/>
      <c r="L44" s="11"/>
      <c r="M44" s="63"/>
      <c r="N44" s="62">
        <f t="shared" ref="N44:Q44" si="94">N43+N42+N39</f>
        <v>2.0334181944444447</v>
      </c>
      <c r="O44" s="11">
        <f>O43+O42+O39</f>
        <v>5.5687028611111113</v>
      </c>
      <c r="P44" s="11" t="e">
        <f t="shared" si="94"/>
        <v>#REF!</v>
      </c>
      <c r="Q44" s="11" t="e">
        <f t="shared" si="94"/>
        <v>#REF!</v>
      </c>
      <c r="R44" s="11" t="e">
        <f t="shared" ref="R44:S44" si="95">R43+R42+R39</f>
        <v>#REF!</v>
      </c>
      <c r="S44" s="11" t="e">
        <f t="shared" si="95"/>
        <v>#REF!</v>
      </c>
      <c r="T44" s="11" t="e">
        <f t="shared" ref="T44" si="96">T43+T42+T39</f>
        <v>#REF!</v>
      </c>
      <c r="U44" s="11" t="e">
        <f t="shared" ref="U44" si="97">U43+U42+U39</f>
        <v>#REF!</v>
      </c>
      <c r="V44" s="58" t="e">
        <f>SUM(V46:V48)</f>
        <v>#REF!</v>
      </c>
      <c r="W44" s="13" t="e">
        <f t="shared" ref="W44:AB44" si="98">SUM(W46:W48)</f>
        <v>#REF!</v>
      </c>
      <c r="X44" s="13" t="e">
        <f t="shared" si="98"/>
        <v>#REF!</v>
      </c>
      <c r="Y44" s="13" t="e">
        <f t="shared" si="98"/>
        <v>#REF!</v>
      </c>
      <c r="Z44" s="13" t="e">
        <f t="shared" si="98"/>
        <v>#REF!</v>
      </c>
      <c r="AA44" s="13" t="e">
        <f t="shared" si="98"/>
        <v>#REF!</v>
      </c>
      <c r="AB44" s="13" t="e">
        <f t="shared" si="98"/>
        <v>#REF!</v>
      </c>
      <c r="AC44" s="113" t="e">
        <f t="shared" ref="AC44" si="99">SUM(AC46:AC48)</f>
        <v>#REF!</v>
      </c>
    </row>
    <row r="45" spans="1:29" ht="15.75" thickTop="1">
      <c r="A45" s="4"/>
      <c r="B45" s="4"/>
      <c r="C45" s="4"/>
      <c r="D45" s="4"/>
      <c r="F45" s="4"/>
      <c r="G45" s="4"/>
      <c r="H45" s="4"/>
      <c r="I45" s="4"/>
      <c r="N45" s="4"/>
      <c r="O45" s="4"/>
      <c r="P45" s="4"/>
      <c r="Q45" s="4"/>
      <c r="V45" s="4"/>
      <c r="W45" s="4"/>
      <c r="X45" s="4"/>
      <c r="Y45" s="4"/>
    </row>
    <row r="46" spans="1:29">
      <c r="A46" s="4"/>
      <c r="B46" s="4"/>
      <c r="C46" s="4"/>
      <c r="D46" s="4"/>
      <c r="F46" s="4"/>
      <c r="G46" s="4"/>
      <c r="H46" s="4"/>
      <c r="I46" s="4"/>
      <c r="N46" s="4"/>
      <c r="O46" s="4"/>
      <c r="P46" s="4"/>
      <c r="Q46" s="4"/>
      <c r="V46" s="104">
        <f>V39*0.65</f>
        <v>2.1443178646983077</v>
      </c>
      <c r="W46" s="104">
        <f t="shared" ref="W46:AA46" si="100">W39*0.65</f>
        <v>12.816168852104372</v>
      </c>
      <c r="X46" s="104">
        <f t="shared" si="100"/>
        <v>15.061184771587715</v>
      </c>
      <c r="Y46" s="104">
        <f t="shared" si="100"/>
        <v>16.940915373092739</v>
      </c>
      <c r="Z46" s="104" t="e">
        <f t="shared" si="100"/>
        <v>#REF!</v>
      </c>
      <c r="AA46" s="104" t="e">
        <f t="shared" si="100"/>
        <v>#REF!</v>
      </c>
      <c r="AB46" s="104" t="e">
        <f t="shared" ref="AB46:AC46" si="101">AB39*0.65</f>
        <v>#REF!</v>
      </c>
      <c r="AC46" s="104" t="e">
        <f t="shared" si="101"/>
        <v>#REF!</v>
      </c>
    </row>
    <row r="47" spans="1:29">
      <c r="V47" s="104">
        <f>V42*0.2</f>
        <v>1.4137500000000001</v>
      </c>
      <c r="W47" s="104">
        <f t="shared" ref="W47:AA47" si="102">W42*0.2</f>
        <v>2.7875000000000001</v>
      </c>
      <c r="X47" s="104" t="e">
        <f t="shared" si="102"/>
        <v>#REF!</v>
      </c>
      <c r="Y47" s="104" t="e">
        <f t="shared" si="102"/>
        <v>#REF!</v>
      </c>
      <c r="Z47" s="104" t="e">
        <f t="shared" si="102"/>
        <v>#REF!</v>
      </c>
      <c r="AA47" s="104" t="e">
        <f t="shared" si="102"/>
        <v>#REF!</v>
      </c>
      <c r="AB47" s="104" t="e">
        <f t="shared" ref="AB47:AC47" si="103">AB42*0.2</f>
        <v>#REF!</v>
      </c>
      <c r="AC47" s="104" t="e">
        <f t="shared" si="103"/>
        <v>#REF!</v>
      </c>
    </row>
    <row r="48" spans="1:29">
      <c r="V48" s="104" t="e">
        <f>V43*0.1</f>
        <v>#REF!</v>
      </c>
      <c r="W48" s="104" t="e">
        <f t="shared" ref="W48:AA48" si="104">W43*0.1</f>
        <v>#REF!</v>
      </c>
      <c r="X48" s="104" t="e">
        <f t="shared" si="104"/>
        <v>#REF!</v>
      </c>
      <c r="Y48" s="104" t="e">
        <f t="shared" si="104"/>
        <v>#REF!</v>
      </c>
      <c r="Z48" s="104" t="e">
        <f t="shared" si="104"/>
        <v>#REF!</v>
      </c>
      <c r="AA48" s="104" t="e">
        <f t="shared" si="104"/>
        <v>#REF!</v>
      </c>
      <c r="AB48" s="104" t="e">
        <f t="shared" ref="AB48:AC48" si="105">AB43*0.1</f>
        <v>#REF!</v>
      </c>
      <c r="AC48" s="104" t="e">
        <f t="shared" si="105"/>
        <v>#REF!</v>
      </c>
    </row>
  </sheetData>
  <mergeCells count="16">
    <mergeCell ref="C2:Z2"/>
    <mergeCell ref="B33:C33"/>
    <mergeCell ref="B4:C6"/>
    <mergeCell ref="D4:D6"/>
    <mergeCell ref="B43:C43"/>
    <mergeCell ref="N4:U5"/>
    <mergeCell ref="F4:M5"/>
    <mergeCell ref="B24:AC24"/>
    <mergeCell ref="V4:AC5"/>
    <mergeCell ref="E4:E6"/>
    <mergeCell ref="AD4:AK5"/>
    <mergeCell ref="B7:AK7"/>
    <mergeCell ref="B16:AK16"/>
    <mergeCell ref="B44:C44"/>
    <mergeCell ref="B35:B39"/>
    <mergeCell ref="B40:B42"/>
  </mergeCells>
  <pageMargins left="0.7" right="0.7" top="0.75" bottom="0.75" header="0.8" footer="0.8"/>
  <pageSetup paperSize="9" scale="38" orientation="landscape" r:id="rId1"/>
  <headerFooter>
    <oddHeader xml:space="preserve">&amp;LCFAVC Annual Report  2020 &amp;RAnnex 1.2
 </oddHeader>
    <oddFooter>&amp;LAESA &amp; SBK</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CC00"/>
  </sheetPr>
  <dimension ref="A1:C22"/>
  <sheetViews>
    <sheetView view="pageBreakPreview" zoomScale="85" zoomScaleNormal="100" zoomScaleSheetLayoutView="85" workbookViewId="0">
      <pane ySplit="3" topLeftCell="A13" activePane="bottomLeft" state="frozen"/>
      <selection pane="bottomLeft" activeCell="A13" sqref="A13:C13"/>
    </sheetView>
  </sheetViews>
  <sheetFormatPr defaultColWidth="9.140625" defaultRowHeight="14.25"/>
  <cols>
    <col min="1" max="1" width="7.5703125" style="375" customWidth="1"/>
    <col min="2" max="2" width="53.140625" style="375" customWidth="1"/>
    <col min="3" max="3" width="34.7109375" style="375" customWidth="1"/>
    <col min="4" max="16384" width="9.140625" style="375"/>
  </cols>
  <sheetData>
    <row r="1" spans="1:3" ht="33.75" customHeight="1">
      <c r="A1" s="374"/>
      <c r="B1" s="1539" t="s">
        <v>340</v>
      </c>
      <c r="C1" s="374"/>
    </row>
    <row r="2" spans="1:3" ht="33.75" customHeight="1">
      <c r="A2" s="374"/>
      <c r="B2" s="1539"/>
      <c r="C2" s="374"/>
    </row>
    <row r="3" spans="1:3" ht="26.25" customHeight="1">
      <c r="A3" s="1540" t="s">
        <v>341</v>
      </c>
      <c r="B3" s="1540"/>
      <c r="C3" s="1540"/>
    </row>
    <row r="4" spans="1:3" ht="21" customHeight="1">
      <c r="A4" s="331" t="s">
        <v>11</v>
      </c>
      <c r="B4" s="331" t="s">
        <v>656</v>
      </c>
      <c r="C4" s="331" t="s">
        <v>336</v>
      </c>
    </row>
    <row r="5" spans="1:3">
      <c r="A5" s="376">
        <v>1</v>
      </c>
      <c r="B5" s="376"/>
      <c r="C5" s="513" t="s">
        <v>337</v>
      </c>
    </row>
    <row r="6" spans="1:3">
      <c r="A6" s="392">
        <v>2</v>
      </c>
      <c r="B6" s="393"/>
      <c r="C6" s="514" t="s">
        <v>338</v>
      </c>
    </row>
    <row r="7" spans="1:3">
      <c r="A7" s="377">
        <v>3</v>
      </c>
      <c r="B7" s="394"/>
      <c r="C7" s="378" t="s">
        <v>339</v>
      </c>
    </row>
    <row r="8" spans="1:3" ht="42.75">
      <c r="A8" s="515">
        <v>4</v>
      </c>
      <c r="B8" s="516"/>
      <c r="C8" s="379" t="s">
        <v>342</v>
      </c>
    </row>
    <row r="9" spans="1:3">
      <c r="A9" s="395">
        <v>5</v>
      </c>
      <c r="B9" s="391"/>
      <c r="C9" s="388" t="s">
        <v>373</v>
      </c>
    </row>
    <row r="10" spans="1:3">
      <c r="A10" s="396">
        <v>6</v>
      </c>
      <c r="B10" s="389"/>
      <c r="C10" s="388" t="s">
        <v>372</v>
      </c>
    </row>
    <row r="11" spans="1:3" ht="168" customHeight="1">
      <c r="A11" s="1544" t="s">
        <v>661</v>
      </c>
      <c r="B11" s="1545"/>
      <c r="C11" s="1545"/>
    </row>
    <row r="12" spans="1:3" ht="173.25" customHeight="1">
      <c r="A12" s="1538" t="s">
        <v>343</v>
      </c>
      <c r="B12" s="1543"/>
      <c r="C12" s="1543"/>
    </row>
    <row r="13" spans="1:3" ht="362.25" customHeight="1">
      <c r="A13" s="1541" t="s">
        <v>662</v>
      </c>
      <c r="B13" s="1542"/>
      <c r="C13" s="1542"/>
    </row>
    <row r="14" spans="1:3" ht="268.5" customHeight="1">
      <c r="A14" s="1546" t="s">
        <v>657</v>
      </c>
      <c r="B14" s="1546"/>
      <c r="C14" s="1546"/>
    </row>
    <row r="15" spans="1:3" ht="207.75" customHeight="1">
      <c r="A15" s="1538" t="s">
        <v>663</v>
      </c>
      <c r="B15" s="1538"/>
      <c r="C15" s="1538"/>
    </row>
    <row r="16" spans="1:3" ht="176.25" customHeight="1">
      <c r="A16" s="1538" t="s">
        <v>664</v>
      </c>
      <c r="B16" s="1538"/>
      <c r="C16" s="1538"/>
    </row>
    <row r="17" spans="1:3" ht="156.75" customHeight="1">
      <c r="A17" s="1538" t="s">
        <v>665</v>
      </c>
      <c r="B17" s="1538"/>
      <c r="C17" s="1538"/>
    </row>
    <row r="18" spans="1:3" ht="141.75" customHeight="1">
      <c r="A18" s="1538" t="s">
        <v>666</v>
      </c>
      <c r="B18" s="1538"/>
      <c r="C18" s="1538"/>
    </row>
    <row r="19" spans="1:3" ht="59.25" customHeight="1">
      <c r="A19" s="1538" t="s">
        <v>344</v>
      </c>
      <c r="B19" s="1538"/>
      <c r="C19" s="1538"/>
    </row>
    <row r="20" spans="1:3">
      <c r="A20" s="380"/>
      <c r="B20" s="380"/>
      <c r="C20" s="380"/>
    </row>
    <row r="21" spans="1:3">
      <c r="A21" s="381"/>
      <c r="B21" s="381"/>
      <c r="C21" s="381"/>
    </row>
    <row r="22" spans="1:3">
      <c r="A22" s="381"/>
      <c r="B22" s="381"/>
      <c r="C22" s="381"/>
    </row>
  </sheetData>
  <sheetProtection algorithmName="SHA-512" hashValue="i/YHYJGee5rD6Z16fGazae4aPt40H8lgGWRUv6vOtKxbXNCiQ9TgobKJ7WT/V0l+A+2bcNrjtDc3lJ5J6ggqbQ==" saltValue="73xChOS03MkHW5X8rkbx0Q==" spinCount="100000" sheet="1" objects="1" scenarios="1"/>
  <mergeCells count="11">
    <mergeCell ref="A18:C18"/>
    <mergeCell ref="A19:C19"/>
    <mergeCell ref="A17:C17"/>
    <mergeCell ref="B1:B2"/>
    <mergeCell ref="A3:C3"/>
    <mergeCell ref="A13:C13"/>
    <mergeCell ref="A12:C12"/>
    <mergeCell ref="A15:C15"/>
    <mergeCell ref="A16:C16"/>
    <mergeCell ref="A11:C11"/>
    <mergeCell ref="A14:C14"/>
  </mergeCells>
  <pageMargins left="0.37" right="0.28000000000000003" top="0.39" bottom="0.38"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00CC"/>
  </sheetPr>
  <dimension ref="A1:AN262"/>
  <sheetViews>
    <sheetView view="pageBreakPreview" zoomScale="70" zoomScaleNormal="70" zoomScaleSheetLayoutView="70" workbookViewId="0">
      <pane xSplit="5" ySplit="9" topLeftCell="S10" activePane="bottomRight" state="frozen"/>
      <selection pane="topRight" activeCell="D1" sqref="D1"/>
      <selection pane="bottomLeft" activeCell="A10" sqref="A10"/>
      <selection pane="bottomRight" activeCell="AE11" sqref="AE11"/>
    </sheetView>
  </sheetViews>
  <sheetFormatPr defaultColWidth="8.85546875" defaultRowHeight="12.75"/>
  <cols>
    <col min="1" max="1" width="5.5703125" style="382" customWidth="1"/>
    <col min="2" max="2" width="10.42578125" style="382" customWidth="1"/>
    <col min="3" max="3" width="6.85546875" style="382" customWidth="1"/>
    <col min="4" max="4" width="6.28515625" style="382" customWidth="1"/>
    <col min="5" max="5" width="48.28515625" style="382" customWidth="1"/>
    <col min="6" max="6" width="13" style="1092" customWidth="1"/>
    <col min="7" max="7" width="12.85546875" style="1092" customWidth="1"/>
    <col min="8" max="8" width="17.42578125" style="382" customWidth="1"/>
    <col min="9" max="9" width="13" style="382" customWidth="1"/>
    <col min="10" max="10" width="12" style="405" customWidth="1"/>
    <col min="11" max="11" width="11.42578125" style="382" customWidth="1"/>
    <col min="12" max="12" width="7.5703125" style="382" customWidth="1"/>
    <col min="13" max="13" width="11.140625" style="382" customWidth="1"/>
    <col min="14" max="14" width="11.42578125" style="382" customWidth="1"/>
    <col min="15" max="15" width="10.85546875" style="382" customWidth="1"/>
    <col min="16" max="17" width="9.42578125" style="382" customWidth="1"/>
    <col min="18" max="21" width="10.140625" style="382" customWidth="1"/>
    <col min="22" max="24" width="8.7109375" style="382" customWidth="1"/>
    <col min="25" max="26" width="10.7109375" style="382" hidden="1" customWidth="1"/>
    <col min="27" max="27" width="11.7109375" style="382" hidden="1" customWidth="1"/>
    <col min="28" max="28" width="10.7109375" style="382" customWidth="1"/>
    <col min="29" max="29" width="10.7109375" style="382" hidden="1" customWidth="1"/>
    <col min="30" max="30" width="11.7109375" style="382" customWidth="1"/>
    <col min="31" max="31" width="81.28515625" style="382" customWidth="1"/>
    <col min="32" max="33" width="10.7109375" style="382" hidden="1" customWidth="1"/>
    <col min="34" max="34" width="11.7109375" style="382" hidden="1" customWidth="1"/>
    <col min="35" max="35" width="13.7109375" style="382" hidden="1" customWidth="1"/>
    <col min="36" max="36" width="1" style="382" customWidth="1"/>
    <col min="37" max="39" width="13.7109375" style="382" hidden="1" customWidth="1"/>
    <col min="40" max="16384" width="8.85546875" style="382"/>
  </cols>
  <sheetData>
    <row r="1" spans="1:39" ht="15" customHeight="1">
      <c r="A1" s="494"/>
      <c r="B1" s="494"/>
      <c r="C1" s="494"/>
      <c r="D1" s="494"/>
      <c r="E1" s="494"/>
      <c r="F1" s="1075"/>
      <c r="G1" s="1075"/>
      <c r="H1" s="494"/>
      <c r="I1" s="494"/>
      <c r="J1" s="495"/>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row>
    <row r="2" spans="1:39" ht="15" customHeight="1">
      <c r="A2" s="494"/>
      <c r="B2" s="494"/>
      <c r="C2" s="494"/>
      <c r="D2" s="494"/>
      <c r="E2" s="494"/>
      <c r="F2" s="1075"/>
      <c r="G2" s="1075"/>
      <c r="H2" s="494"/>
      <c r="I2" s="494"/>
      <c r="J2" s="495"/>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row>
    <row r="3" spans="1:39" ht="15" customHeight="1">
      <c r="A3" s="494"/>
      <c r="B3" s="494"/>
      <c r="C3" s="494"/>
      <c r="D3" s="494"/>
      <c r="E3" s="494"/>
      <c r="F3" s="1075"/>
      <c r="G3" s="1075"/>
      <c r="H3" s="494"/>
      <c r="I3" s="494"/>
      <c r="J3" s="495"/>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row>
    <row r="4" spans="1:39" ht="15" customHeight="1">
      <c r="A4" s="494"/>
      <c r="B4" s="494"/>
      <c r="C4" s="494"/>
      <c r="D4" s="494"/>
      <c r="E4" s="494"/>
      <c r="F4" s="1075"/>
      <c r="G4" s="1075"/>
      <c r="H4" s="494"/>
      <c r="I4" s="494"/>
      <c r="J4" s="495"/>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row>
    <row r="5" spans="1:39" ht="22.9" customHeight="1">
      <c r="A5" s="494"/>
      <c r="B5" s="1564" t="s">
        <v>710</v>
      </c>
      <c r="C5" s="1564"/>
      <c r="D5" s="1564"/>
      <c r="E5" s="1564"/>
      <c r="F5" s="1564"/>
      <c r="G5" s="1564"/>
      <c r="H5" s="1564"/>
      <c r="I5" s="1564"/>
      <c r="J5" s="1564"/>
      <c r="K5" s="1564"/>
      <c r="L5" s="1564"/>
      <c r="M5" s="1564"/>
      <c r="N5" s="1564"/>
      <c r="O5" s="1564"/>
      <c r="P5" s="1564"/>
      <c r="Q5" s="1564"/>
      <c r="R5" s="1564"/>
      <c r="S5" s="621"/>
      <c r="T5" s="621"/>
      <c r="U5" s="621"/>
      <c r="V5" s="621"/>
      <c r="W5" s="621"/>
      <c r="X5" s="621"/>
      <c r="Y5" s="621"/>
      <c r="Z5" s="621"/>
      <c r="AA5" s="621"/>
      <c r="AB5" s="621"/>
      <c r="AC5" s="621"/>
      <c r="AD5" s="621"/>
      <c r="AE5" s="621"/>
      <c r="AF5" s="621"/>
      <c r="AG5" s="621"/>
      <c r="AH5" s="621"/>
      <c r="AI5" s="621"/>
    </row>
    <row r="6" spans="1:39" ht="2.4500000000000002" customHeight="1" thickBot="1">
      <c r="B6" s="383"/>
      <c r="C6" s="383"/>
      <c r="D6" s="383"/>
      <c r="E6" s="383"/>
      <c r="F6" s="1076"/>
      <c r="G6" s="1076"/>
      <c r="H6" s="383"/>
      <c r="I6" s="383"/>
      <c r="J6" s="383"/>
      <c r="K6" s="383"/>
      <c r="L6" s="383"/>
      <c r="M6" s="383"/>
      <c r="N6" s="383"/>
      <c r="O6" s="383"/>
      <c r="P6" s="384"/>
      <c r="Q6" s="384"/>
      <c r="R6" s="384"/>
      <c r="S6" s="384"/>
      <c r="T6" s="384"/>
      <c r="U6" s="384"/>
      <c r="V6" s="384"/>
      <c r="W6" s="384"/>
      <c r="X6" s="384"/>
      <c r="Y6" s="384"/>
      <c r="Z6" s="384"/>
      <c r="AA6" s="384"/>
      <c r="AB6" s="383"/>
      <c r="AC6" s="383"/>
      <c r="AD6" s="383"/>
      <c r="AE6" s="383"/>
      <c r="AF6" s="384"/>
      <c r="AG6" s="383"/>
      <c r="AH6" s="383"/>
      <c r="AI6" s="383"/>
    </row>
    <row r="7" spans="1:39" ht="14.45" customHeight="1">
      <c r="A7" s="1553" t="s">
        <v>671</v>
      </c>
      <c r="B7" s="1553" t="s">
        <v>458</v>
      </c>
      <c r="C7" s="1553" t="s">
        <v>670</v>
      </c>
      <c r="D7" s="1553" t="s">
        <v>375</v>
      </c>
      <c r="E7" s="1556" t="s">
        <v>743</v>
      </c>
      <c r="F7" s="1561" t="s">
        <v>812</v>
      </c>
      <c r="G7" s="1561" t="s">
        <v>811</v>
      </c>
      <c r="H7" s="1556" t="s">
        <v>347</v>
      </c>
      <c r="I7" s="509"/>
      <c r="J7" s="1556" t="s">
        <v>457</v>
      </c>
      <c r="K7" s="1556" t="s">
        <v>456</v>
      </c>
      <c r="L7" s="1556" t="s">
        <v>426</v>
      </c>
      <c r="M7" s="1556" t="s">
        <v>371</v>
      </c>
      <c r="N7" s="1559" t="s">
        <v>348</v>
      </c>
      <c r="O7" s="1571" t="s">
        <v>374</v>
      </c>
      <c r="P7" s="1568" t="s">
        <v>277</v>
      </c>
      <c r="Q7" s="1568"/>
      <c r="R7" s="1568"/>
      <c r="S7" s="1568"/>
      <c r="T7" s="1568"/>
      <c r="U7" s="1568"/>
      <c r="V7" s="1568"/>
      <c r="W7" s="1568"/>
      <c r="X7" s="1569"/>
      <c r="Y7" s="1572" t="s">
        <v>658</v>
      </c>
      <c r="Z7" s="1573"/>
      <c r="AA7" s="1574"/>
      <c r="AB7" s="1575" t="s">
        <v>694</v>
      </c>
      <c r="AC7" s="1567"/>
      <c r="AD7" s="1567"/>
      <c r="AE7" s="1576"/>
      <c r="AF7" s="1567" t="s">
        <v>695</v>
      </c>
      <c r="AG7" s="1567"/>
      <c r="AH7" s="1567"/>
      <c r="AI7" s="1567"/>
      <c r="AK7" s="1547" t="s">
        <v>690</v>
      </c>
      <c r="AL7" s="1548"/>
      <c r="AM7" s="1549"/>
    </row>
    <row r="8" spans="1:39" ht="66" customHeight="1">
      <c r="A8" s="1554"/>
      <c r="B8" s="1554"/>
      <c r="C8" s="1554"/>
      <c r="D8" s="1554"/>
      <c r="E8" s="1557"/>
      <c r="F8" s="1562"/>
      <c r="G8" s="1562"/>
      <c r="H8" s="1557"/>
      <c r="I8" s="510" t="s">
        <v>518</v>
      </c>
      <c r="J8" s="1557"/>
      <c r="K8" s="1557"/>
      <c r="L8" s="1557"/>
      <c r="M8" s="1557"/>
      <c r="N8" s="1559"/>
      <c r="O8" s="1571"/>
      <c r="P8" s="1568"/>
      <c r="Q8" s="1568"/>
      <c r="R8" s="1568"/>
      <c r="S8" s="1568"/>
      <c r="T8" s="1568"/>
      <c r="U8" s="1568"/>
      <c r="V8" s="1568"/>
      <c r="W8" s="1568"/>
      <c r="X8" s="1569"/>
      <c r="Y8" s="1570" t="s">
        <v>349</v>
      </c>
      <c r="Z8" s="1565" t="s">
        <v>684</v>
      </c>
      <c r="AA8" s="1565" t="s">
        <v>704</v>
      </c>
      <c r="AB8" s="1570" t="s">
        <v>808</v>
      </c>
      <c r="AC8" s="1565" t="s">
        <v>684</v>
      </c>
      <c r="AD8" s="1565" t="s">
        <v>809</v>
      </c>
      <c r="AE8" s="1566" t="s">
        <v>705</v>
      </c>
      <c r="AF8" s="1560" t="s">
        <v>349</v>
      </c>
      <c r="AG8" s="1565" t="s">
        <v>684</v>
      </c>
      <c r="AH8" s="1565" t="s">
        <v>704</v>
      </c>
      <c r="AI8" s="1566" t="s">
        <v>705</v>
      </c>
      <c r="AK8" s="1550"/>
      <c r="AL8" s="1551"/>
      <c r="AM8" s="1552"/>
    </row>
    <row r="9" spans="1:39" ht="38.25">
      <c r="A9" s="1555"/>
      <c r="B9" s="1555"/>
      <c r="C9" s="1555"/>
      <c r="D9" s="1555"/>
      <c r="E9" s="1558"/>
      <c r="F9" s="1563"/>
      <c r="G9" s="1563"/>
      <c r="H9" s="1558"/>
      <c r="I9" s="511"/>
      <c r="J9" s="1558"/>
      <c r="K9" s="1558"/>
      <c r="L9" s="1558"/>
      <c r="M9" s="1558"/>
      <c r="N9" s="1559"/>
      <c r="O9" s="1571"/>
      <c r="P9" s="491" t="s">
        <v>152</v>
      </c>
      <c r="Q9" s="682" t="s">
        <v>693</v>
      </c>
      <c r="R9" s="492">
        <v>2019</v>
      </c>
      <c r="S9" s="492">
        <v>2020</v>
      </c>
      <c r="T9" s="492">
        <v>2021</v>
      </c>
      <c r="U9" s="492">
        <v>2022</v>
      </c>
      <c r="V9" s="492">
        <v>2023</v>
      </c>
      <c r="W9" s="492">
        <v>2024</v>
      </c>
      <c r="X9" s="493">
        <v>2025</v>
      </c>
      <c r="Y9" s="1570"/>
      <c r="Z9" s="1565"/>
      <c r="AA9" s="1565"/>
      <c r="AB9" s="1570"/>
      <c r="AC9" s="1565"/>
      <c r="AD9" s="1565"/>
      <c r="AE9" s="1566"/>
      <c r="AF9" s="1560"/>
      <c r="AG9" s="1565"/>
      <c r="AH9" s="1565"/>
      <c r="AI9" s="1566"/>
      <c r="AK9" s="739" t="s">
        <v>349</v>
      </c>
      <c r="AL9" s="738" t="s">
        <v>684</v>
      </c>
      <c r="AM9" s="679" t="s">
        <v>703</v>
      </c>
    </row>
    <row r="10" spans="1:39" s="572" customFormat="1" ht="35.1" customHeight="1">
      <c r="A10" s="559"/>
      <c r="B10" s="576" t="s">
        <v>383</v>
      </c>
      <c r="C10" s="576"/>
      <c r="D10" s="576"/>
      <c r="E10" s="518" t="s">
        <v>608</v>
      </c>
      <c r="F10" s="1077">
        <f>F21+F40+F56</f>
        <v>49800</v>
      </c>
      <c r="G10" s="1077">
        <f>G21+G40+G56</f>
        <v>309680</v>
      </c>
      <c r="H10" s="570"/>
      <c r="I10" s="577"/>
      <c r="J10" s="578"/>
      <c r="K10" s="577"/>
      <c r="L10" s="579"/>
      <c r="M10" s="579"/>
      <c r="N10" s="580"/>
      <c r="O10" s="581"/>
      <c r="P10" s="581"/>
      <c r="Q10" s="581">
        <f>Q21+Q40+Q56</f>
        <v>100</v>
      </c>
      <c r="R10" s="581"/>
      <c r="S10" s="581"/>
      <c r="T10" s="581"/>
      <c r="U10" s="581"/>
      <c r="V10" s="581"/>
      <c r="W10" s="581"/>
      <c r="X10" s="582"/>
      <c r="Y10" s="609"/>
      <c r="Z10" s="610">
        <f>Z21+Z40+Z56</f>
        <v>2.0031597222222222</v>
      </c>
      <c r="AA10" s="610">
        <f>AA21+AA40+AA56</f>
        <v>11.8291</v>
      </c>
      <c r="AB10" s="609">
        <f>$Q$10/4</f>
        <v>25</v>
      </c>
      <c r="AC10" s="581">
        <f>(AC21+AC40+AC56)</f>
        <v>4.1232430213572631</v>
      </c>
      <c r="AD10" s="1068">
        <f>AD21+AD40+AD56</f>
        <v>0.25442777443801834</v>
      </c>
      <c r="AE10" s="570"/>
      <c r="AF10" s="609">
        <f>$Q$10/4</f>
        <v>25</v>
      </c>
      <c r="AG10" s="581">
        <f>(AG21+AG40+AG56)</f>
        <v>6.7142598571077521</v>
      </c>
      <c r="AH10" s="1068">
        <f>AH21+AH40+AH56</f>
        <v>0.35893168320702418</v>
      </c>
      <c r="AI10" s="570"/>
      <c r="AK10" s="571"/>
      <c r="AL10" s="581">
        <f>AL21+AL40+AL56</f>
        <v>12.840662600687239</v>
      </c>
      <c r="AM10" s="610">
        <f>AM21+AM40+AM56</f>
        <v>12.442459457645043</v>
      </c>
    </row>
    <row r="11" spans="1:39" ht="77.45" customHeight="1">
      <c r="A11" s="496">
        <v>1</v>
      </c>
      <c r="B11" s="497" t="s">
        <v>384</v>
      </c>
      <c r="C11" s="497" t="s">
        <v>410</v>
      </c>
      <c r="D11" s="497"/>
      <c r="E11" s="528" t="s">
        <v>610</v>
      </c>
      <c r="F11" s="1078"/>
      <c r="G11" s="1078"/>
      <c r="H11" s="668"/>
      <c r="I11" s="504"/>
      <c r="J11" s="499" t="s">
        <v>427</v>
      </c>
      <c r="K11" s="499"/>
      <c r="L11" s="390" t="s">
        <v>366</v>
      </c>
      <c r="M11" s="390" t="s">
        <v>229</v>
      </c>
      <c r="N11" s="416" t="s">
        <v>362</v>
      </c>
      <c r="O11" s="500"/>
      <c r="P11" s="632">
        <v>0.15</v>
      </c>
      <c r="Q11" s="632"/>
      <c r="R11" s="631"/>
      <c r="S11" s="631"/>
      <c r="T11" s="631"/>
      <c r="U11" s="631"/>
      <c r="V11" s="631"/>
      <c r="W11" s="631"/>
      <c r="X11" s="502"/>
      <c r="Y11" s="603"/>
      <c r="Z11" s="500"/>
      <c r="AA11" s="608"/>
      <c r="AB11" s="654"/>
      <c r="AC11" s="657" t="s">
        <v>677</v>
      </c>
      <c r="AD11" s="407"/>
      <c r="AE11" s="397"/>
      <c r="AF11" s="654"/>
      <c r="AG11" s="657" t="s">
        <v>677</v>
      </c>
      <c r="AH11" s="407"/>
      <c r="AI11" s="397"/>
      <c r="AK11" s="611"/>
      <c r="AL11" s="612"/>
      <c r="AM11" s="688"/>
    </row>
    <row r="12" spans="1:39" ht="35.1" customHeight="1">
      <c r="A12" s="496"/>
      <c r="B12" s="497" t="s">
        <v>503</v>
      </c>
      <c r="C12" s="497"/>
      <c r="D12" s="497"/>
      <c r="E12" s="529" t="s">
        <v>422</v>
      </c>
      <c r="F12" s="1079"/>
      <c r="G12" s="1079"/>
      <c r="H12" s="667"/>
      <c r="I12" s="504"/>
      <c r="J12" s="499"/>
      <c r="K12" s="504"/>
      <c r="L12" s="390" t="s">
        <v>366</v>
      </c>
      <c r="M12" s="390" t="s">
        <v>229</v>
      </c>
      <c r="N12" s="416" t="s">
        <v>432</v>
      </c>
      <c r="O12" s="500">
        <v>2.7</v>
      </c>
      <c r="P12" s="500">
        <f>O12+(O12*$P$11)</f>
        <v>3.1050000000000004</v>
      </c>
      <c r="Q12" s="500"/>
      <c r="R12" s="631">
        <v>0</v>
      </c>
      <c r="S12" s="631">
        <f>O12</f>
        <v>2.7</v>
      </c>
      <c r="T12" s="631">
        <f>O12+(P12-O12)/4</f>
        <v>2.8012500000000005</v>
      </c>
      <c r="U12" s="631">
        <f>T12+(P12-O12)/4</f>
        <v>2.9025000000000007</v>
      </c>
      <c r="V12" s="631">
        <f>U12+(P12-O12)/4</f>
        <v>3.003750000000001</v>
      </c>
      <c r="W12" s="631">
        <f>V12+(P12-O12)/4</f>
        <v>3.1050000000000013</v>
      </c>
      <c r="X12" s="502"/>
      <c r="Y12" s="603"/>
      <c r="Z12" s="500"/>
      <c r="AA12" s="608"/>
      <c r="AB12" s="654"/>
      <c r="AC12" s="657"/>
      <c r="AD12" s="407"/>
      <c r="AE12" s="397"/>
      <c r="AF12" s="654"/>
      <c r="AG12" s="657"/>
      <c r="AH12" s="407"/>
      <c r="AI12" s="397"/>
      <c r="AK12" s="611"/>
      <c r="AL12" s="612"/>
      <c r="AM12" s="688"/>
    </row>
    <row r="13" spans="1:39" ht="35.1" customHeight="1">
      <c r="A13" s="496"/>
      <c r="B13" s="497" t="s">
        <v>504</v>
      </c>
      <c r="C13" s="497"/>
      <c r="D13" s="497"/>
      <c r="E13" s="529" t="s">
        <v>423</v>
      </c>
      <c r="F13" s="1079"/>
      <c r="G13" s="1079"/>
      <c r="H13" s="667"/>
      <c r="I13" s="504"/>
      <c r="J13" s="499"/>
      <c r="K13" s="504"/>
      <c r="L13" s="390" t="s">
        <v>366</v>
      </c>
      <c r="M13" s="390" t="s">
        <v>229</v>
      </c>
      <c r="N13" s="416" t="s">
        <v>432</v>
      </c>
      <c r="O13" s="500">
        <v>4</v>
      </c>
      <c r="P13" s="500">
        <f>O13+(O13*$P$11)</f>
        <v>4.5999999999999996</v>
      </c>
      <c r="Q13" s="500"/>
      <c r="R13" s="631">
        <v>0</v>
      </c>
      <c r="S13" s="631">
        <f t="shared" ref="S13:S15" si="0">O13</f>
        <v>4</v>
      </c>
      <c r="T13" s="631">
        <f>O13+(P13-O13)/4</f>
        <v>4.1500000000000004</v>
      </c>
      <c r="U13" s="631">
        <f t="shared" ref="U13:U15" si="1">T13+(P13-O13)/4</f>
        <v>4.3000000000000007</v>
      </c>
      <c r="V13" s="631">
        <f t="shared" ref="V13:V15" si="2">U13+(P13-O13)/4</f>
        <v>4.4500000000000011</v>
      </c>
      <c r="W13" s="631">
        <f t="shared" ref="W13:W15" si="3">V13+(P13-O13)/4</f>
        <v>4.6000000000000014</v>
      </c>
      <c r="X13" s="502"/>
      <c r="Y13" s="603"/>
      <c r="Z13" s="500"/>
      <c r="AA13" s="608"/>
      <c r="AB13" s="654"/>
      <c r="AC13" s="617"/>
      <c r="AD13" s="407"/>
      <c r="AE13" s="397"/>
      <c r="AF13" s="654"/>
      <c r="AG13" s="617"/>
      <c r="AH13" s="407"/>
      <c r="AI13" s="397"/>
      <c r="AK13" s="611"/>
      <c r="AL13" s="612"/>
      <c r="AM13" s="688"/>
    </row>
    <row r="14" spans="1:39" ht="35.1" customHeight="1">
      <c r="A14" s="496"/>
      <c r="B14" s="497" t="s">
        <v>505</v>
      </c>
      <c r="C14" s="497"/>
      <c r="D14" s="497"/>
      <c r="E14" s="529" t="s">
        <v>424</v>
      </c>
      <c r="F14" s="1079"/>
      <c r="G14" s="1079"/>
      <c r="H14" s="667"/>
      <c r="I14" s="504"/>
      <c r="J14" s="499"/>
      <c r="K14" s="504"/>
      <c r="L14" s="390" t="s">
        <v>366</v>
      </c>
      <c r="M14" s="390" t="s">
        <v>229</v>
      </c>
      <c r="N14" s="416" t="s">
        <v>432</v>
      </c>
      <c r="O14" s="500">
        <v>20</v>
      </c>
      <c r="P14" s="500">
        <f>O14+(O14*$P$11)</f>
        <v>23</v>
      </c>
      <c r="Q14" s="500"/>
      <c r="R14" s="631">
        <v>0</v>
      </c>
      <c r="S14" s="631">
        <f t="shared" si="0"/>
        <v>20</v>
      </c>
      <c r="T14" s="631">
        <f t="shared" ref="T14:T15" si="4">O14+(P14-O14)/4</f>
        <v>20.75</v>
      </c>
      <c r="U14" s="631">
        <f t="shared" si="1"/>
        <v>21.5</v>
      </c>
      <c r="V14" s="631">
        <f t="shared" si="2"/>
        <v>22.25</v>
      </c>
      <c r="W14" s="631">
        <f t="shared" si="3"/>
        <v>23</v>
      </c>
      <c r="X14" s="502"/>
      <c r="Y14" s="603"/>
      <c r="Z14" s="500"/>
      <c r="AA14" s="608"/>
      <c r="AB14" s="654"/>
      <c r="AC14" s="617"/>
      <c r="AD14" s="407"/>
      <c r="AE14" s="397"/>
      <c r="AF14" s="654"/>
      <c r="AG14" s="617"/>
      <c r="AH14" s="407"/>
      <c r="AI14" s="397"/>
      <c r="AK14" s="611"/>
      <c r="AL14" s="612"/>
      <c r="AM14" s="688"/>
    </row>
    <row r="15" spans="1:39" ht="35.1" customHeight="1">
      <c r="A15" s="496"/>
      <c r="B15" s="497" t="s">
        <v>505</v>
      </c>
      <c r="C15" s="497"/>
      <c r="D15" s="497"/>
      <c r="E15" s="529" t="s">
        <v>425</v>
      </c>
      <c r="F15" s="1079"/>
      <c r="G15" s="1079"/>
      <c r="H15" s="667"/>
      <c r="I15" s="504"/>
      <c r="J15" s="499"/>
      <c r="K15" s="504"/>
      <c r="L15" s="390" t="s">
        <v>366</v>
      </c>
      <c r="M15" s="390" t="s">
        <v>229</v>
      </c>
      <c r="N15" s="416" t="s">
        <v>432</v>
      </c>
      <c r="O15" s="500">
        <v>15</v>
      </c>
      <c r="P15" s="500">
        <f>O15+(O15*$P$11)</f>
        <v>17.25</v>
      </c>
      <c r="Q15" s="500"/>
      <c r="R15" s="631">
        <v>0</v>
      </c>
      <c r="S15" s="631">
        <f t="shared" si="0"/>
        <v>15</v>
      </c>
      <c r="T15" s="631">
        <f t="shared" si="4"/>
        <v>15.5625</v>
      </c>
      <c r="U15" s="631">
        <f t="shared" si="1"/>
        <v>16.125</v>
      </c>
      <c r="V15" s="631">
        <f t="shared" si="2"/>
        <v>16.6875</v>
      </c>
      <c r="W15" s="631">
        <f t="shared" si="3"/>
        <v>17.25</v>
      </c>
      <c r="X15" s="502"/>
      <c r="Y15" s="603"/>
      <c r="Z15" s="500"/>
      <c r="AA15" s="608"/>
      <c r="AB15" s="654"/>
      <c r="AC15" s="617"/>
      <c r="AD15" s="407"/>
      <c r="AE15" s="397"/>
      <c r="AF15" s="654"/>
      <c r="AG15" s="617"/>
      <c r="AH15" s="407"/>
      <c r="AI15" s="397"/>
      <c r="AK15" s="611"/>
      <c r="AL15" s="612"/>
      <c r="AM15" s="688"/>
    </row>
    <row r="16" spans="1:39" ht="77.45" customHeight="1">
      <c r="A16" s="496">
        <v>2</v>
      </c>
      <c r="B16" s="497" t="s">
        <v>385</v>
      </c>
      <c r="C16" s="497" t="s">
        <v>411</v>
      </c>
      <c r="D16" s="497"/>
      <c r="E16" s="531" t="s">
        <v>381</v>
      </c>
      <c r="F16" s="1080"/>
      <c r="G16" s="1080"/>
      <c r="H16" s="667" t="s">
        <v>696</v>
      </c>
      <c r="I16" s="504"/>
      <c r="J16" s="499" t="s">
        <v>428</v>
      </c>
      <c r="K16" s="504"/>
      <c r="L16" s="390"/>
      <c r="M16" s="390"/>
      <c r="N16" s="416" t="s">
        <v>352</v>
      </c>
      <c r="O16" s="505">
        <v>0</v>
      </c>
      <c r="P16" s="501">
        <v>240000</v>
      </c>
      <c r="Q16" s="501"/>
      <c r="R16" s="505">
        <v>0</v>
      </c>
      <c r="S16" s="505">
        <v>0</v>
      </c>
      <c r="T16" s="505">
        <v>0</v>
      </c>
      <c r="U16" s="505">
        <v>80000</v>
      </c>
      <c r="V16" s="505">
        <v>80000</v>
      </c>
      <c r="W16" s="505">
        <v>80000</v>
      </c>
      <c r="X16" s="502"/>
      <c r="Y16" s="603"/>
      <c r="Z16" s="500"/>
      <c r="AA16" s="608"/>
      <c r="AB16" s="654"/>
      <c r="AC16" s="657" t="s">
        <v>677</v>
      </c>
      <c r="AD16" s="407"/>
      <c r="AE16" s="397"/>
      <c r="AF16" s="654"/>
      <c r="AG16" s="657" t="s">
        <v>677</v>
      </c>
      <c r="AH16" s="407"/>
      <c r="AI16" s="397"/>
      <c r="AK16" s="611"/>
      <c r="AL16" s="612"/>
      <c r="AM16" s="688"/>
    </row>
    <row r="17" spans="1:40" ht="96.75" customHeight="1">
      <c r="A17" s="496">
        <v>3</v>
      </c>
      <c r="B17" s="497" t="s">
        <v>386</v>
      </c>
      <c r="C17" s="497" t="s">
        <v>412</v>
      </c>
      <c r="D17" s="497"/>
      <c r="E17" s="528" t="s">
        <v>382</v>
      </c>
      <c r="F17" s="1078"/>
      <c r="G17" s="1078"/>
      <c r="H17" s="668"/>
      <c r="I17" s="504"/>
      <c r="J17" s="499" t="s">
        <v>429</v>
      </c>
      <c r="K17" s="504"/>
      <c r="L17" s="390" t="s">
        <v>366</v>
      </c>
      <c r="M17" s="390" t="s">
        <v>229</v>
      </c>
      <c r="N17" s="416" t="s">
        <v>362</v>
      </c>
      <c r="O17" s="505">
        <v>0</v>
      </c>
      <c r="P17" s="501">
        <v>50</v>
      </c>
      <c r="Q17" s="501"/>
      <c r="R17" s="505">
        <v>0</v>
      </c>
      <c r="S17" s="505">
        <v>0</v>
      </c>
      <c r="T17" s="505">
        <v>0</v>
      </c>
      <c r="U17" s="505">
        <v>5</v>
      </c>
      <c r="V17" s="505">
        <v>20</v>
      </c>
      <c r="W17" s="505">
        <v>25</v>
      </c>
      <c r="X17" s="502"/>
      <c r="Y17" s="603"/>
      <c r="Z17" s="500"/>
      <c r="AA17" s="608"/>
      <c r="AB17" s="654"/>
      <c r="AC17" s="657" t="s">
        <v>677</v>
      </c>
      <c r="AD17" s="407"/>
      <c r="AE17" s="397"/>
      <c r="AF17" s="654"/>
      <c r="AG17" s="657" t="s">
        <v>677</v>
      </c>
      <c r="AH17" s="407"/>
      <c r="AI17" s="397"/>
      <c r="AK17" s="611"/>
      <c r="AL17" s="612"/>
      <c r="AM17" s="688"/>
    </row>
    <row r="18" spans="1:40" ht="35.1" customHeight="1">
      <c r="A18" s="496"/>
      <c r="B18" s="497" t="s">
        <v>506</v>
      </c>
      <c r="C18" s="497"/>
      <c r="D18" s="497"/>
      <c r="E18" s="529" t="s">
        <v>697</v>
      </c>
      <c r="F18" s="1079"/>
      <c r="G18" s="1079"/>
      <c r="H18" s="667"/>
      <c r="I18" s="504"/>
      <c r="J18" s="499"/>
      <c r="K18" s="504"/>
      <c r="L18" s="390" t="s">
        <v>366</v>
      </c>
      <c r="M18" s="390" t="s">
        <v>229</v>
      </c>
      <c r="N18" s="416" t="s">
        <v>362</v>
      </c>
      <c r="O18" s="505">
        <v>0</v>
      </c>
      <c r="P18" s="501">
        <v>10</v>
      </c>
      <c r="Q18" s="501"/>
      <c r="R18" s="505">
        <v>0</v>
      </c>
      <c r="S18" s="505"/>
      <c r="T18" s="631">
        <f t="shared" ref="T18" si="5">O18+(P18-O18)/4</f>
        <v>2.5</v>
      </c>
      <c r="U18" s="631">
        <f t="shared" ref="U18" si="6">T18+(P18-O18)/4</f>
        <v>5</v>
      </c>
      <c r="V18" s="631">
        <f t="shared" ref="V18" si="7">U18+(P18-O18)/4</f>
        <v>7.5</v>
      </c>
      <c r="W18" s="631">
        <f t="shared" ref="W18" si="8">V18+(P18-O18)/4</f>
        <v>10</v>
      </c>
      <c r="X18" s="502"/>
      <c r="Y18" s="603"/>
      <c r="Z18" s="500"/>
      <c r="AA18" s="608"/>
      <c r="AB18" s="654"/>
      <c r="AC18" s="617"/>
      <c r="AD18" s="407"/>
      <c r="AE18" s="397"/>
      <c r="AF18" s="654"/>
      <c r="AG18" s="617"/>
      <c r="AH18" s="407"/>
      <c r="AI18" s="397"/>
      <c r="AK18" s="611"/>
      <c r="AL18" s="612"/>
      <c r="AM18" s="688"/>
    </row>
    <row r="19" spans="1:40" ht="35.1" customHeight="1">
      <c r="A19" s="496"/>
      <c r="B19" s="497" t="s">
        <v>507</v>
      </c>
      <c r="C19" s="497"/>
      <c r="D19" s="497"/>
      <c r="E19" s="529" t="s">
        <v>430</v>
      </c>
      <c r="F19" s="1079"/>
      <c r="G19" s="1079"/>
      <c r="H19" s="667" t="s">
        <v>698</v>
      </c>
      <c r="I19" s="504"/>
      <c r="J19" s="499"/>
      <c r="K19" s="504"/>
      <c r="L19" s="390" t="s">
        <v>366</v>
      </c>
      <c r="M19" s="390" t="s">
        <v>229</v>
      </c>
      <c r="N19" s="416" t="s">
        <v>362</v>
      </c>
      <c r="O19" s="505">
        <v>0</v>
      </c>
      <c r="P19" s="501">
        <v>20</v>
      </c>
      <c r="Q19" s="501"/>
      <c r="R19" s="505">
        <v>0</v>
      </c>
      <c r="S19" s="505"/>
      <c r="T19" s="631">
        <f t="shared" ref="T19:T20" si="9">O19+(P19-O19)/4</f>
        <v>5</v>
      </c>
      <c r="U19" s="631">
        <f t="shared" ref="U19:U20" si="10">T19+(P19-O19)/4</f>
        <v>10</v>
      </c>
      <c r="V19" s="631">
        <f t="shared" ref="V19:V20" si="11">U19+(P19-O19)/4</f>
        <v>15</v>
      </c>
      <c r="W19" s="631">
        <f t="shared" ref="W19:W20" si="12">V19+(P19-O19)/4</f>
        <v>20</v>
      </c>
      <c r="X19" s="502"/>
      <c r="Y19" s="603"/>
      <c r="Z19" s="500"/>
      <c r="AA19" s="608"/>
      <c r="AB19" s="654"/>
      <c r="AC19" s="617"/>
      <c r="AD19" s="407"/>
      <c r="AE19" s="397"/>
      <c r="AF19" s="654"/>
      <c r="AG19" s="617"/>
      <c r="AH19" s="407"/>
      <c r="AI19" s="397"/>
      <c r="AK19" s="611"/>
      <c r="AL19" s="612"/>
      <c r="AM19" s="688"/>
    </row>
    <row r="20" spans="1:40" ht="35.1" customHeight="1">
      <c r="A20" s="496"/>
      <c r="B20" s="497" t="s">
        <v>508</v>
      </c>
      <c r="C20" s="497"/>
      <c r="D20" s="497"/>
      <c r="E20" s="529" t="s">
        <v>431</v>
      </c>
      <c r="F20" s="1079"/>
      <c r="G20" s="1079"/>
      <c r="H20" s="667"/>
      <c r="I20" s="504"/>
      <c r="J20" s="499"/>
      <c r="K20" s="504"/>
      <c r="L20" s="390" t="s">
        <v>366</v>
      </c>
      <c r="M20" s="390" t="s">
        <v>229</v>
      </c>
      <c r="N20" s="416" t="s">
        <v>362</v>
      </c>
      <c r="O20" s="505">
        <v>0</v>
      </c>
      <c r="P20" s="501">
        <v>10</v>
      </c>
      <c r="Q20" s="501"/>
      <c r="R20" s="505">
        <v>0</v>
      </c>
      <c r="S20" s="505"/>
      <c r="T20" s="631">
        <f t="shared" si="9"/>
        <v>2.5</v>
      </c>
      <c r="U20" s="631">
        <f t="shared" si="10"/>
        <v>5</v>
      </c>
      <c r="V20" s="631">
        <f t="shared" si="11"/>
        <v>7.5</v>
      </c>
      <c r="W20" s="631">
        <f t="shared" si="12"/>
        <v>10</v>
      </c>
      <c r="X20" s="502"/>
      <c r="Y20" s="603"/>
      <c r="Z20" s="500"/>
      <c r="AA20" s="608"/>
      <c r="AB20" s="654"/>
      <c r="AC20" s="617"/>
      <c r="AD20" s="407"/>
      <c r="AE20" s="397"/>
      <c r="AF20" s="654"/>
      <c r="AG20" s="617"/>
      <c r="AH20" s="407"/>
      <c r="AI20" s="397"/>
      <c r="AK20" s="611"/>
      <c r="AL20" s="612"/>
      <c r="AM20" s="688"/>
    </row>
    <row r="21" spans="1:40" s="572" customFormat="1" ht="35.1" customHeight="1">
      <c r="A21" s="559"/>
      <c r="B21" s="560" t="s">
        <v>387</v>
      </c>
      <c r="C21" s="560"/>
      <c r="D21" s="560"/>
      <c r="E21" s="561" t="s">
        <v>390</v>
      </c>
      <c r="F21" s="1081">
        <f>SUM(F22:F39)</f>
        <v>29800</v>
      </c>
      <c r="G21" s="1081">
        <f>SUM(G22:G39)</f>
        <v>220500</v>
      </c>
      <c r="H21" s="562"/>
      <c r="I21" s="563"/>
      <c r="J21" s="564"/>
      <c r="K21" s="563"/>
      <c r="L21" s="565"/>
      <c r="M21" s="565"/>
      <c r="N21" s="566"/>
      <c r="O21" s="567"/>
      <c r="P21" s="568"/>
      <c r="Q21" s="568">
        <f>'3. DMF Progress'!D35</f>
        <v>65</v>
      </c>
      <c r="R21" s="567"/>
      <c r="S21" s="567"/>
      <c r="T21" s="567"/>
      <c r="U21" s="567"/>
      <c r="V21" s="567"/>
      <c r="W21" s="567"/>
      <c r="X21" s="569"/>
      <c r="Y21" s="662"/>
      <c r="Z21" s="614"/>
      <c r="AA21" s="686">
        <f>'3. DMF Progress'!F17</f>
        <v>7.4775999999999998</v>
      </c>
      <c r="AB21" s="1073">
        <f>$Q$21/4</f>
        <v>16.25</v>
      </c>
      <c r="AC21" s="686">
        <f>'3. DMF Progress'!$P$17/100</f>
        <v>1.5726824544306879</v>
      </c>
      <c r="AD21" s="1067">
        <f>'3. DMF Progress'!$AJ$17/100</f>
        <v>0.16523165967193648</v>
      </c>
      <c r="AE21" s="562"/>
      <c r="AF21" s="1070">
        <f>$Q$21/4</f>
        <v>16.25</v>
      </c>
      <c r="AG21" s="686">
        <f>'3. DMF Progress'!$AA$17/100</f>
        <v>2.0910938668380954</v>
      </c>
      <c r="AH21" s="1067">
        <f>'3. DMF Progress'!$AU$17/100</f>
        <v>0.21276270931082536</v>
      </c>
      <c r="AI21" s="562"/>
      <c r="AK21" s="687"/>
      <c r="AL21" s="689">
        <f>Z21+AC21+AG21</f>
        <v>3.6637763212687835</v>
      </c>
      <c r="AM21" s="689">
        <f>AA21+AD21+AH21</f>
        <v>7.8555943689827616</v>
      </c>
      <c r="AN21" s="1069"/>
    </row>
    <row r="22" spans="1:40" ht="77.45" customHeight="1">
      <c r="A22" s="496">
        <v>4</v>
      </c>
      <c r="B22" s="497" t="s">
        <v>392</v>
      </c>
      <c r="C22" s="497" t="s">
        <v>416</v>
      </c>
      <c r="D22" s="497"/>
      <c r="E22" s="531" t="s">
        <v>906</v>
      </c>
      <c r="F22" s="1082">
        <v>25000</v>
      </c>
      <c r="G22" s="1093">
        <v>5000</v>
      </c>
      <c r="H22" s="668" t="s">
        <v>679</v>
      </c>
      <c r="I22" s="504"/>
      <c r="J22" s="499" t="s">
        <v>660</v>
      </c>
      <c r="K22" s="504"/>
      <c r="L22" s="390" t="s">
        <v>365</v>
      </c>
      <c r="M22" s="390" t="s">
        <v>230</v>
      </c>
      <c r="N22" s="416" t="s">
        <v>435</v>
      </c>
      <c r="O22" s="505">
        <v>0</v>
      </c>
      <c r="P22" s="501">
        <v>27</v>
      </c>
      <c r="Q22" s="597">
        <f>'3. DMF Progress'!D9</f>
        <v>15</v>
      </c>
      <c r="R22" s="505">
        <v>0</v>
      </c>
      <c r="S22" s="500">
        <f>'Output 1'!I9</f>
        <v>10</v>
      </c>
      <c r="T22" s="500">
        <f>'Output 1'!M9</f>
        <v>9</v>
      </c>
      <c r="U22" s="500"/>
      <c r="V22" s="500"/>
      <c r="W22" s="500"/>
      <c r="X22" s="502"/>
      <c r="Y22" s="603">
        <f>S22</f>
        <v>10</v>
      </c>
      <c r="Z22" s="597">
        <f>'3. DMF Progress'!E9</f>
        <v>10.06</v>
      </c>
      <c r="AA22" s="602">
        <f>'3. DMF Progress'!F9</f>
        <v>1.5090000000000001</v>
      </c>
      <c r="AB22" s="654">
        <f>$Q$22/4</f>
        <v>3.75</v>
      </c>
      <c r="AC22" s="741">
        <f>'3. DMF Progress'!$P$9/100</f>
        <v>0.30667145449735445</v>
      </c>
      <c r="AD22" s="1065">
        <f>'3. DMF Progress'!$AJ$9/100</f>
        <v>4.6000718174603168E-2</v>
      </c>
      <c r="AE22" s="397"/>
      <c r="AF22" s="654">
        <f>$Q$22/4</f>
        <v>3.75</v>
      </c>
      <c r="AG22" s="741">
        <f>'3. DMF Progress'!$AA$9/100</f>
        <v>0.30852330634920633</v>
      </c>
      <c r="AH22" s="1065">
        <f>'3. DMF Progress'!$AU$9/100</f>
        <v>4.6278495952380948E-2</v>
      </c>
      <c r="AI22" s="397"/>
      <c r="AK22" s="611">
        <f>Y22+AB22+AF22</f>
        <v>17.5</v>
      </c>
      <c r="AL22" s="740">
        <f>Z22+AC22+AG22</f>
        <v>10.675194760846562</v>
      </c>
      <c r="AM22" s="745">
        <f>AA22+AD22+AH22</f>
        <v>1.6012792141269843</v>
      </c>
      <c r="AN22" s="1069"/>
    </row>
    <row r="23" spans="1:40" ht="35.1" customHeight="1">
      <c r="A23" s="496"/>
      <c r="B23" s="497" t="s">
        <v>479</v>
      </c>
      <c r="C23" s="497"/>
      <c r="D23" s="497"/>
      <c r="E23" s="583" t="s">
        <v>461</v>
      </c>
      <c r="F23" s="1083"/>
      <c r="G23" s="1083"/>
      <c r="H23" s="667"/>
      <c r="I23" s="504"/>
      <c r="J23" s="499"/>
      <c r="K23" s="504"/>
      <c r="L23" s="390" t="s">
        <v>365</v>
      </c>
      <c r="M23" s="390" t="s">
        <v>230</v>
      </c>
      <c r="N23" s="416" t="s">
        <v>462</v>
      </c>
      <c r="O23" s="505">
        <v>0</v>
      </c>
      <c r="P23" s="501">
        <v>27</v>
      </c>
      <c r="Q23" s="501"/>
      <c r="R23" s="505">
        <v>0</v>
      </c>
      <c r="S23" s="500">
        <f>'Output 1'!I9</f>
        <v>10</v>
      </c>
      <c r="T23" s="500">
        <f>'Output 1'!M9</f>
        <v>9</v>
      </c>
      <c r="U23" s="500">
        <v>8</v>
      </c>
      <c r="V23" s="500"/>
      <c r="W23" s="500"/>
      <c r="X23" s="502"/>
      <c r="Y23" s="603">
        <f>'Output 1'!I9</f>
        <v>10</v>
      </c>
      <c r="Z23" s="597">
        <f>'Output 1'!J9</f>
        <v>17.1936</v>
      </c>
      <c r="AA23" s="602">
        <f>'3. DMF Progress'!F10</f>
        <v>0.20649999999999999</v>
      </c>
      <c r="AB23" s="654"/>
      <c r="AC23" s="617"/>
      <c r="AD23" s="407"/>
      <c r="AE23" s="397"/>
      <c r="AF23" s="654"/>
      <c r="AG23" s="617"/>
      <c r="AH23" s="407"/>
      <c r="AI23" s="397"/>
      <c r="AK23" s="611"/>
      <c r="AL23" s="740"/>
      <c r="AM23" s="745"/>
    </row>
    <row r="24" spans="1:40" ht="35.1" customHeight="1">
      <c r="A24" s="496"/>
      <c r="B24" s="497" t="s">
        <v>480</v>
      </c>
      <c r="C24" s="497"/>
      <c r="D24" s="497"/>
      <c r="E24" s="583" t="s">
        <v>433</v>
      </c>
      <c r="F24" s="1083"/>
      <c r="G24" s="1083"/>
      <c r="H24" s="667"/>
      <c r="I24" s="504"/>
      <c r="J24" s="499"/>
      <c r="K24" s="504"/>
      <c r="L24" s="390" t="s">
        <v>365</v>
      </c>
      <c r="M24" s="390" t="s">
        <v>230</v>
      </c>
      <c r="N24" s="416" t="s">
        <v>205</v>
      </c>
      <c r="O24" s="505">
        <v>0</v>
      </c>
      <c r="P24" s="501">
        <v>15000</v>
      </c>
      <c r="Q24" s="501"/>
      <c r="R24" s="505">
        <v>0</v>
      </c>
      <c r="S24" s="500">
        <f>'Output 1'!I12</f>
        <v>4050</v>
      </c>
      <c r="T24" s="500">
        <f>'Output 1'!M12</f>
        <v>5333</v>
      </c>
      <c r="U24" s="500">
        <f>P24-(S24+T24)</f>
        <v>5617</v>
      </c>
      <c r="V24" s="500"/>
      <c r="W24" s="500"/>
      <c r="X24" s="502"/>
      <c r="Y24" s="603">
        <f>'Output 1'!I12</f>
        <v>4050</v>
      </c>
      <c r="Z24" s="597">
        <f>'Output 1'!J12</f>
        <v>1399.5000000000002</v>
      </c>
      <c r="AA24" s="602">
        <f>'Output 1'!K12</f>
        <v>1.8660000000000001</v>
      </c>
      <c r="AB24" s="654"/>
      <c r="AC24" s="617"/>
      <c r="AD24" s="407"/>
      <c r="AE24" s="397"/>
      <c r="AF24" s="654"/>
      <c r="AG24" s="617"/>
      <c r="AH24" s="407"/>
      <c r="AI24" s="397"/>
      <c r="AK24" s="611"/>
      <c r="AL24" s="740"/>
      <c r="AM24" s="745"/>
    </row>
    <row r="25" spans="1:40" ht="35.1" customHeight="1">
      <c r="A25" s="496"/>
      <c r="B25" s="497" t="s">
        <v>481</v>
      </c>
      <c r="C25" s="497"/>
      <c r="D25" s="497" t="s">
        <v>672</v>
      </c>
      <c r="E25" s="583" t="s">
        <v>434</v>
      </c>
      <c r="F25" s="1083"/>
      <c r="G25" s="1083"/>
      <c r="H25" s="667"/>
      <c r="I25" s="504"/>
      <c r="J25" s="499"/>
      <c r="K25" s="504"/>
      <c r="L25" s="390" t="s">
        <v>365</v>
      </c>
      <c r="M25" s="390" t="s">
        <v>230</v>
      </c>
      <c r="N25" s="416" t="s">
        <v>436</v>
      </c>
      <c r="O25" s="505">
        <v>0</v>
      </c>
      <c r="P25" s="501">
        <v>25000</v>
      </c>
      <c r="Q25" s="501"/>
      <c r="R25" s="505">
        <v>0</v>
      </c>
      <c r="S25" s="500"/>
      <c r="T25" s="500"/>
      <c r="U25" s="500"/>
      <c r="V25" s="500"/>
      <c r="W25" s="500"/>
      <c r="X25" s="502"/>
      <c r="Y25" s="603"/>
      <c r="Z25" s="597"/>
      <c r="AA25" s="602"/>
      <c r="AB25" s="654"/>
      <c r="AC25" s="617"/>
      <c r="AD25" s="407"/>
      <c r="AE25" s="397"/>
      <c r="AF25" s="654"/>
      <c r="AG25" s="617"/>
      <c r="AH25" s="407"/>
      <c r="AI25" s="397"/>
      <c r="AK25" s="611"/>
      <c r="AL25" s="740"/>
      <c r="AM25" s="745"/>
    </row>
    <row r="26" spans="1:40" ht="77.45" customHeight="1">
      <c r="A26" s="496">
        <v>5</v>
      </c>
      <c r="B26" s="497" t="s">
        <v>393</v>
      </c>
      <c r="C26" s="497" t="s">
        <v>413</v>
      </c>
      <c r="D26" s="497"/>
      <c r="E26" s="528" t="s">
        <v>391</v>
      </c>
      <c r="F26" s="1078"/>
      <c r="G26" s="1078">
        <v>50000</v>
      </c>
      <c r="H26" s="668" t="s">
        <v>679</v>
      </c>
      <c r="I26" s="504"/>
      <c r="J26" s="499" t="s">
        <v>660</v>
      </c>
      <c r="K26" s="504"/>
      <c r="L26" s="390" t="s">
        <v>366</v>
      </c>
      <c r="M26" s="390" t="s">
        <v>229</v>
      </c>
      <c r="N26" s="416" t="s">
        <v>379</v>
      </c>
      <c r="O26" s="505">
        <v>0</v>
      </c>
      <c r="P26" s="501">
        <v>800</v>
      </c>
      <c r="Q26" s="597">
        <f>'3. DMF Progress'!D10</f>
        <v>5</v>
      </c>
      <c r="R26" s="505">
        <v>0</v>
      </c>
      <c r="S26" s="505">
        <v>80</v>
      </c>
      <c r="T26" s="505">
        <v>280</v>
      </c>
      <c r="U26" s="505">
        <v>290</v>
      </c>
      <c r="V26" s="505">
        <v>150</v>
      </c>
      <c r="W26" s="505">
        <v>0</v>
      </c>
      <c r="X26" s="502"/>
      <c r="Y26" s="603"/>
      <c r="Z26" s="597">
        <f>'3. DMF Progress'!E10</f>
        <v>4.13</v>
      </c>
      <c r="AA26" s="602">
        <f>'3. DMF Progress'!F10</f>
        <v>0.20649999999999999</v>
      </c>
      <c r="AB26" s="654">
        <f>$Q$26/4</f>
        <v>1.25</v>
      </c>
      <c r="AC26" s="741">
        <f>'3. DMF Progress'!$P$10/100</f>
        <v>1.125E-2</v>
      </c>
      <c r="AD26" s="1065">
        <f>'3. DMF Progress'!$AJ$10/100</f>
        <v>5.6249999999999996E-4</v>
      </c>
      <c r="AE26" s="397"/>
      <c r="AF26" s="654">
        <f>$Q$26/4</f>
        <v>1.25</v>
      </c>
      <c r="AG26" s="741">
        <f>'3. DMF Progress'!$AA$10/100</f>
        <v>1.125E-2</v>
      </c>
      <c r="AH26" s="1065">
        <f>'3. DMF Progress'!$AU$10/100</f>
        <v>5.6249999999999996E-4</v>
      </c>
      <c r="AI26" s="397"/>
      <c r="AK26" s="611">
        <f t="shared" ref="AK26:AM29" si="13">Y26+AB26+AF26</f>
        <v>2.5</v>
      </c>
      <c r="AL26" s="740">
        <f t="shared" si="13"/>
        <v>4.1525000000000007</v>
      </c>
      <c r="AM26" s="745">
        <f t="shared" si="13"/>
        <v>0.20762499999999998</v>
      </c>
      <c r="AN26" s="1069"/>
    </row>
    <row r="27" spans="1:40" ht="77.45" customHeight="1">
      <c r="A27" s="496">
        <v>6</v>
      </c>
      <c r="B27" s="497" t="s">
        <v>394</v>
      </c>
      <c r="C27" s="497" t="s">
        <v>414</v>
      </c>
      <c r="D27" s="497"/>
      <c r="E27" s="531" t="s">
        <v>683</v>
      </c>
      <c r="F27" s="1080"/>
      <c r="G27" s="1080"/>
      <c r="H27" s="668" t="s">
        <v>679</v>
      </c>
      <c r="I27" s="504"/>
      <c r="J27" s="499" t="s">
        <v>455</v>
      </c>
      <c r="K27" s="504"/>
      <c r="L27" s="390" t="s">
        <v>365</v>
      </c>
      <c r="M27" s="390" t="s">
        <v>231</v>
      </c>
      <c r="N27" s="416" t="s">
        <v>378</v>
      </c>
      <c r="O27" s="505">
        <v>0</v>
      </c>
      <c r="P27" s="501">
        <v>250</v>
      </c>
      <c r="Q27" s="597">
        <f>'3. DMF Progress'!D11</f>
        <v>15</v>
      </c>
      <c r="R27" s="505">
        <v>0</v>
      </c>
      <c r="S27" s="505">
        <f>'Output 1'!I23</f>
        <v>67.95</v>
      </c>
      <c r="T27" s="505">
        <f>'Output 1'!M23</f>
        <v>100.1</v>
      </c>
      <c r="U27" s="505">
        <f>P27-(R27+S27+T27)</f>
        <v>81.949999999999989</v>
      </c>
      <c r="V27" s="505"/>
      <c r="W27" s="505"/>
      <c r="X27" s="502"/>
      <c r="Y27" s="603"/>
      <c r="Z27" s="597">
        <f>'3. DMF Progress'!E11</f>
        <v>14.05</v>
      </c>
      <c r="AA27" s="602">
        <f>'3. DMF Progress'!F11</f>
        <v>2.1074999999999999</v>
      </c>
      <c r="AB27" s="654">
        <f>$Q$27/4</f>
        <v>3.75</v>
      </c>
      <c r="AC27" s="741">
        <f>'3. DMF Progress'!$P$11/100</f>
        <v>0.25402819999999998</v>
      </c>
      <c r="AD27" s="1065">
        <f>'3. DMF Progress'!$AJ$11/100</f>
        <v>3.8104230000000003E-2</v>
      </c>
      <c r="AE27" s="397"/>
      <c r="AF27" s="654">
        <f>$Q$27/4</f>
        <v>3.75</v>
      </c>
      <c r="AG27" s="741">
        <f>'3. DMF Progress'!$AA$11/100</f>
        <v>0.50881608</v>
      </c>
      <c r="AH27" s="1065">
        <f>'3. DMF Progress'!$AU$11/100</f>
        <v>7.6322412000000006E-2</v>
      </c>
      <c r="AI27" s="397"/>
      <c r="AK27" s="611">
        <f t="shared" si="13"/>
        <v>7.5</v>
      </c>
      <c r="AL27" s="740">
        <f t="shared" si="13"/>
        <v>14.812844280000002</v>
      </c>
      <c r="AM27" s="745">
        <f t="shared" si="13"/>
        <v>2.2219266420000001</v>
      </c>
      <c r="AN27" s="1069"/>
    </row>
    <row r="28" spans="1:40" ht="77.45" customHeight="1">
      <c r="A28" s="496">
        <v>7</v>
      </c>
      <c r="B28" s="497" t="s">
        <v>395</v>
      </c>
      <c r="C28" s="497" t="s">
        <v>415</v>
      </c>
      <c r="D28" s="497"/>
      <c r="E28" s="528" t="s">
        <v>611</v>
      </c>
      <c r="F28" s="1078">
        <v>4800</v>
      </c>
      <c r="G28" s="1078">
        <v>24000</v>
      </c>
      <c r="H28" s="668" t="s">
        <v>679</v>
      </c>
      <c r="I28" s="504" t="s">
        <v>519</v>
      </c>
      <c r="J28" s="499" t="s">
        <v>660</v>
      </c>
      <c r="K28" s="504"/>
      <c r="L28" s="390" t="s">
        <v>366</v>
      </c>
      <c r="M28" s="390" t="s">
        <v>229</v>
      </c>
      <c r="N28" s="416" t="s">
        <v>437</v>
      </c>
      <c r="O28" s="501">
        <v>5</v>
      </c>
      <c r="P28" s="501">
        <v>80</v>
      </c>
      <c r="Q28" s="597">
        <f>'3. DMF Progress'!D12</f>
        <v>15</v>
      </c>
      <c r="R28" s="505">
        <v>0</v>
      </c>
      <c r="S28" s="505">
        <v>20</v>
      </c>
      <c r="T28" s="505">
        <v>35</v>
      </c>
      <c r="U28" s="505">
        <v>25</v>
      </c>
      <c r="V28" s="505">
        <v>0</v>
      </c>
      <c r="W28" s="505">
        <v>0</v>
      </c>
      <c r="X28" s="502"/>
      <c r="Y28" s="603"/>
      <c r="Z28" s="597">
        <f>'3. DMF Progress'!E12</f>
        <v>15.06</v>
      </c>
      <c r="AA28" s="602">
        <f>'3. DMF Progress'!F12</f>
        <v>2.2589999999999999</v>
      </c>
      <c r="AB28" s="654">
        <f>$Q$28/4</f>
        <v>3.75</v>
      </c>
      <c r="AC28" s="741">
        <f>'3. DMF Progress'!$P$12/100</f>
        <v>0.39865624999999999</v>
      </c>
      <c r="AD28" s="1065">
        <f>'3. DMF Progress'!$AJ$12/100</f>
        <v>5.9798437499999996E-2</v>
      </c>
      <c r="AE28" s="397"/>
      <c r="AF28" s="654">
        <f>$Q$28/4</f>
        <v>3.75</v>
      </c>
      <c r="AG28" s="741">
        <f>'3. DMF Progress'!$AA$12/100</f>
        <v>0.40698437500000006</v>
      </c>
      <c r="AH28" s="1065">
        <f>'3. DMF Progress'!$AU$12/100</f>
        <v>6.1047656249999999E-2</v>
      </c>
      <c r="AI28" s="397"/>
      <c r="AK28" s="611">
        <f t="shared" si="13"/>
        <v>7.5</v>
      </c>
      <c r="AL28" s="740">
        <f t="shared" si="13"/>
        <v>15.865640625000001</v>
      </c>
      <c r="AM28" s="745">
        <f t="shared" si="13"/>
        <v>2.3798460937499999</v>
      </c>
      <c r="AN28" s="1069"/>
    </row>
    <row r="29" spans="1:40" ht="99.6" customHeight="1">
      <c r="A29" s="496">
        <v>8</v>
      </c>
      <c r="B29" s="497" t="s">
        <v>396</v>
      </c>
      <c r="C29" s="497" t="s">
        <v>417</v>
      </c>
      <c r="D29" s="497"/>
      <c r="E29" s="528" t="s">
        <v>612</v>
      </c>
      <c r="F29" s="1078"/>
      <c r="G29" s="1078">
        <v>1500</v>
      </c>
      <c r="H29" s="668" t="s">
        <v>679</v>
      </c>
      <c r="I29" s="504" t="s">
        <v>520</v>
      </c>
      <c r="J29" s="499" t="s">
        <v>660</v>
      </c>
      <c r="K29" s="504"/>
      <c r="L29" s="390" t="s">
        <v>366</v>
      </c>
      <c r="M29" s="390" t="s">
        <v>229</v>
      </c>
      <c r="N29" s="416"/>
      <c r="O29" s="505"/>
      <c r="P29" s="501"/>
      <c r="Q29" s="597">
        <f>'3. DMF Progress'!D13</f>
        <v>5</v>
      </c>
      <c r="R29" s="505"/>
      <c r="S29" s="505"/>
      <c r="T29" s="505"/>
      <c r="U29" s="505"/>
      <c r="V29" s="505"/>
      <c r="W29" s="505"/>
      <c r="X29" s="502"/>
      <c r="Y29" s="603"/>
      <c r="Z29" s="597">
        <f>'3. DMF Progress'!E13</f>
        <v>16</v>
      </c>
      <c r="AA29" s="602">
        <f>'3. DMF Progress'!F13</f>
        <v>0.8</v>
      </c>
      <c r="AB29" s="654">
        <f>$Q$29/4</f>
        <v>1.25</v>
      </c>
      <c r="AC29" s="741">
        <f>'3. DMF Progress'!$P$13/100</f>
        <v>0.23399999999999999</v>
      </c>
      <c r="AD29" s="1065">
        <f>'3. DMF Progress'!$AJ$13/100</f>
        <v>1.1699999999999999E-2</v>
      </c>
      <c r="AE29" s="397"/>
      <c r="AF29" s="654">
        <f>$Q$29/4</f>
        <v>1.25</v>
      </c>
      <c r="AG29" s="741">
        <f>'3. DMF Progress'!$AA$13/100</f>
        <v>0.31918888888888886</v>
      </c>
      <c r="AH29" s="1065">
        <f>'3. DMF Progress'!$AU$13/100</f>
        <v>1.5959444444444443E-2</v>
      </c>
      <c r="AI29" s="397"/>
      <c r="AK29" s="611">
        <f t="shared" si="13"/>
        <v>2.5</v>
      </c>
      <c r="AL29" s="740">
        <f t="shared" si="13"/>
        <v>16.55318888888889</v>
      </c>
      <c r="AM29" s="745">
        <f t="shared" si="13"/>
        <v>0.8276594444444445</v>
      </c>
      <c r="AN29" s="1069"/>
    </row>
    <row r="30" spans="1:40" ht="53.25" customHeight="1">
      <c r="A30" s="496"/>
      <c r="B30" s="497" t="s">
        <v>482</v>
      </c>
      <c r="C30" s="497"/>
      <c r="D30" s="497"/>
      <c r="E30" s="529" t="s">
        <v>438</v>
      </c>
      <c r="F30" s="1079"/>
      <c r="G30" s="1079"/>
      <c r="H30" s="667"/>
      <c r="I30" s="504"/>
      <c r="J30" s="499" t="s">
        <v>660</v>
      </c>
      <c r="K30" s="504"/>
      <c r="L30" s="390" t="s">
        <v>366</v>
      </c>
      <c r="M30" s="390" t="s">
        <v>229</v>
      </c>
      <c r="N30" s="416" t="s">
        <v>440</v>
      </c>
      <c r="O30" s="501">
        <v>700</v>
      </c>
      <c r="P30" s="501">
        <v>1500</v>
      </c>
      <c r="Q30" s="501"/>
      <c r="R30" s="505">
        <v>0</v>
      </c>
      <c r="S30" s="505">
        <v>0</v>
      </c>
      <c r="T30" s="505">
        <v>0</v>
      </c>
      <c r="U30" s="505">
        <f>$O$30+200</f>
        <v>900</v>
      </c>
      <c r="V30" s="505">
        <f>U30+200</f>
        <v>1100</v>
      </c>
      <c r="W30" s="505">
        <f>V30+400</f>
        <v>1500</v>
      </c>
      <c r="X30" s="502"/>
      <c r="Y30" s="603"/>
      <c r="Z30" s="597"/>
      <c r="AA30" s="602"/>
      <c r="AB30" s="654"/>
      <c r="AC30" s="617"/>
      <c r="AD30" s="407"/>
      <c r="AE30" s="397"/>
      <c r="AF30" s="654"/>
      <c r="AG30" s="617"/>
      <c r="AH30" s="407"/>
      <c r="AI30" s="397"/>
      <c r="AK30" s="611"/>
      <c r="AL30" s="740"/>
      <c r="AM30" s="745"/>
    </row>
    <row r="31" spans="1:40" ht="64.5" customHeight="1">
      <c r="A31" s="496"/>
      <c r="B31" s="497" t="s">
        <v>483</v>
      </c>
      <c r="C31" s="497"/>
      <c r="D31" s="497"/>
      <c r="E31" s="529" t="s">
        <v>439</v>
      </c>
      <c r="F31" s="1079"/>
      <c r="G31" s="1079"/>
      <c r="H31" s="667"/>
      <c r="I31" s="504"/>
      <c r="J31" s="499" t="s">
        <v>660</v>
      </c>
      <c r="K31" s="504"/>
      <c r="L31" s="390" t="s">
        <v>366</v>
      </c>
      <c r="M31" s="390" t="s">
        <v>229</v>
      </c>
      <c r="N31" s="416" t="s">
        <v>354</v>
      </c>
      <c r="O31" s="505">
        <v>0</v>
      </c>
      <c r="P31" s="501">
        <v>75000</v>
      </c>
      <c r="Q31" s="501"/>
      <c r="R31" s="505">
        <v>0</v>
      </c>
      <c r="S31" s="505">
        <v>0</v>
      </c>
      <c r="T31" s="505">
        <v>0</v>
      </c>
      <c r="U31" s="505">
        <f>$P$31/$P$30*U30</f>
        <v>45000</v>
      </c>
      <c r="V31" s="505">
        <f t="shared" ref="V31:W31" si="14">$P$31/$P$30*V30</f>
        <v>55000</v>
      </c>
      <c r="W31" s="505">
        <f t="shared" si="14"/>
        <v>75000</v>
      </c>
      <c r="X31" s="502"/>
      <c r="Y31" s="603"/>
      <c r="Z31" s="597"/>
      <c r="AA31" s="602"/>
      <c r="AB31" s="654"/>
      <c r="AC31" s="617"/>
      <c r="AD31" s="407"/>
      <c r="AE31" s="397"/>
      <c r="AF31" s="654"/>
      <c r="AG31" s="617"/>
      <c r="AH31" s="407"/>
      <c r="AI31" s="397"/>
      <c r="AK31" s="611"/>
      <c r="AL31" s="740"/>
      <c r="AM31" s="745"/>
    </row>
    <row r="32" spans="1:40" ht="111" customHeight="1">
      <c r="A32" s="496">
        <v>9</v>
      </c>
      <c r="B32" s="497" t="s">
        <v>397</v>
      </c>
      <c r="C32" s="497" t="s">
        <v>418</v>
      </c>
      <c r="D32" s="497"/>
      <c r="E32" s="659" t="s">
        <v>459</v>
      </c>
      <c r="F32" s="1484"/>
      <c r="G32" s="1484"/>
      <c r="H32" s="668" t="s">
        <v>679</v>
      </c>
      <c r="I32" s="504" t="s">
        <v>521</v>
      </c>
      <c r="J32" s="499" t="s">
        <v>660</v>
      </c>
      <c r="K32" s="504"/>
      <c r="L32" s="390" t="s">
        <v>366</v>
      </c>
      <c r="M32" s="390" t="s">
        <v>229</v>
      </c>
      <c r="N32" s="416"/>
      <c r="O32" s="500"/>
      <c r="P32" s="501"/>
      <c r="Q32" s="597"/>
      <c r="R32" s="640"/>
      <c r="S32" s="640"/>
      <c r="T32" s="640"/>
      <c r="U32" s="640"/>
      <c r="V32" s="640"/>
      <c r="W32" s="640"/>
      <c r="X32" s="608"/>
      <c r="Y32" s="1071"/>
      <c r="Z32" s="1071"/>
      <c r="AA32" s="1071"/>
      <c r="AB32" s="1072">
        <f>(AB33+AB35+AB37)</f>
        <v>2.5</v>
      </c>
      <c r="AC32" s="740">
        <f>(AC33+AC35+AC37)</f>
        <v>0.36807654993333333</v>
      </c>
      <c r="AD32" s="740">
        <f>(AD33+AD35+AD37)</f>
        <v>9.0657739973333332E-3</v>
      </c>
      <c r="AE32" s="397"/>
      <c r="AF32" s="655"/>
      <c r="AG32" s="740"/>
      <c r="AH32" s="740">
        <f>(AH33+AH35+AH37)</f>
        <v>1.2592200663999999E-2</v>
      </c>
      <c r="AI32" s="397"/>
      <c r="AK32" s="611"/>
      <c r="AL32" s="740"/>
      <c r="AM32" s="745"/>
    </row>
    <row r="33" spans="1:40" ht="35.1" customHeight="1">
      <c r="A33" s="496"/>
      <c r="B33" s="497" t="s">
        <v>484</v>
      </c>
      <c r="C33" s="497" t="s">
        <v>510</v>
      </c>
      <c r="D33" s="497"/>
      <c r="E33" s="529" t="s">
        <v>614</v>
      </c>
      <c r="F33" s="1079"/>
      <c r="G33" s="1079">
        <v>80000</v>
      </c>
      <c r="H33" s="667"/>
      <c r="I33" s="504"/>
      <c r="J33" s="497" t="s">
        <v>474</v>
      </c>
      <c r="K33" s="504"/>
      <c r="L33" s="390" t="s">
        <v>366</v>
      </c>
      <c r="M33" s="390" t="s">
        <v>229</v>
      </c>
      <c r="N33" s="416" t="s">
        <v>441</v>
      </c>
      <c r="O33" s="706" t="s">
        <v>515</v>
      </c>
      <c r="P33" s="501">
        <v>12000</v>
      </c>
      <c r="Q33" s="597">
        <f>'3. DMF Progress'!D14</f>
        <v>4</v>
      </c>
      <c r="R33" s="505">
        <v>0</v>
      </c>
      <c r="S33" s="505">
        <v>500</v>
      </c>
      <c r="T33" s="505">
        <v>2500</v>
      </c>
      <c r="U33" s="505">
        <v>4000</v>
      </c>
      <c r="V33" s="505">
        <v>3500</v>
      </c>
      <c r="W33" s="505">
        <v>1500</v>
      </c>
      <c r="X33" s="502"/>
      <c r="Y33" s="603"/>
      <c r="Z33" s="597">
        <f>'3. DMF Progress'!E14</f>
        <v>7.07</v>
      </c>
      <c r="AA33" s="602">
        <f>'3. DMF Progress'!F14</f>
        <v>0.2828</v>
      </c>
      <c r="AB33" s="654">
        <f>$Q$33/4</f>
        <v>1</v>
      </c>
      <c r="AC33" s="741">
        <f>'3. DMF Progress'!$P$14/100</f>
        <v>3.6730558266666664E-2</v>
      </c>
      <c r="AD33" s="1065">
        <f>'3. DMF Progress'!$AJ$14/100</f>
        <v>1.4692223306666666E-3</v>
      </c>
      <c r="AE33" s="397"/>
      <c r="AF33" s="654">
        <f>$Q$33/4</f>
        <v>1</v>
      </c>
      <c r="AG33" s="741">
        <f>'3. DMF Progress'!$AA$14/100</f>
        <v>3.9963891599999996E-2</v>
      </c>
      <c r="AH33" s="1065">
        <f>'3. DMF Progress'!$AU$14/100</f>
        <v>1.5985556639999997E-3</v>
      </c>
      <c r="AI33" s="397"/>
      <c r="AK33" s="611">
        <f>Y33+AB33+AF33</f>
        <v>2</v>
      </c>
      <c r="AL33" s="740">
        <f>Z33+AC33+AG33</f>
        <v>7.1466944498666676</v>
      </c>
      <c r="AM33" s="745">
        <f>AA33+AD33+AH33</f>
        <v>0.28586777799466667</v>
      </c>
      <c r="AN33" s="1069"/>
    </row>
    <row r="34" spans="1:40" ht="35.1" customHeight="1">
      <c r="A34" s="496"/>
      <c r="B34" s="497"/>
      <c r="C34" s="497"/>
      <c r="D34" s="497"/>
      <c r="E34" s="529" t="s">
        <v>615</v>
      </c>
      <c r="F34" s="1079"/>
      <c r="G34" s="1079"/>
      <c r="H34" s="667"/>
      <c r="I34" s="504"/>
      <c r="J34" s="499"/>
      <c r="K34" s="504"/>
      <c r="L34" s="390" t="s">
        <v>366</v>
      </c>
      <c r="M34" s="390" t="s">
        <v>229</v>
      </c>
      <c r="N34" s="416" t="s">
        <v>134</v>
      </c>
      <c r="O34" s="501">
        <v>11468</v>
      </c>
      <c r="P34" s="501">
        <v>80000</v>
      </c>
      <c r="Q34" s="501"/>
      <c r="R34" s="505">
        <v>0</v>
      </c>
      <c r="S34" s="505">
        <f>($P$34/$P$33)*S33</f>
        <v>3333.3333333333335</v>
      </c>
      <c r="T34" s="505">
        <f t="shared" ref="T34:W34" si="15">($P$34/$P$33)*T33</f>
        <v>16666.666666666668</v>
      </c>
      <c r="U34" s="505">
        <f t="shared" si="15"/>
        <v>26666.666666666668</v>
      </c>
      <c r="V34" s="505">
        <f t="shared" si="15"/>
        <v>23333.333333333336</v>
      </c>
      <c r="W34" s="505">
        <f t="shared" si="15"/>
        <v>10000</v>
      </c>
      <c r="X34" s="502"/>
      <c r="Y34" s="603"/>
      <c r="Z34" s="597"/>
      <c r="AA34" s="602"/>
      <c r="AB34" s="654"/>
      <c r="AC34" s="617"/>
      <c r="AD34" s="407"/>
      <c r="AE34" s="397"/>
      <c r="AF34" s="654"/>
      <c r="AG34" s="617"/>
      <c r="AH34" s="407"/>
      <c r="AI34" s="397"/>
      <c r="AK34" s="611"/>
      <c r="AL34" s="740"/>
      <c r="AM34" s="745"/>
    </row>
    <row r="35" spans="1:40" ht="33" customHeight="1">
      <c r="A35" s="496"/>
      <c r="B35" s="497" t="s">
        <v>485</v>
      </c>
      <c r="C35" s="497" t="s">
        <v>511</v>
      </c>
      <c r="D35" s="497"/>
      <c r="E35" s="583" t="s">
        <v>616</v>
      </c>
      <c r="F35" s="1083"/>
      <c r="G35" s="1083">
        <v>20000</v>
      </c>
      <c r="H35" s="667"/>
      <c r="I35" s="504"/>
      <c r="J35" s="497" t="s">
        <v>474</v>
      </c>
      <c r="K35" s="504"/>
      <c r="L35" s="390" t="s">
        <v>366</v>
      </c>
      <c r="M35" s="390" t="s">
        <v>229</v>
      </c>
      <c r="N35" s="416" t="s">
        <v>173</v>
      </c>
      <c r="O35" s="706" t="s">
        <v>515</v>
      </c>
      <c r="P35" s="501">
        <v>6000</v>
      </c>
      <c r="Q35" s="597">
        <f>'3. DMF Progress'!D15</f>
        <v>4</v>
      </c>
      <c r="R35" s="505">
        <v>0</v>
      </c>
      <c r="S35" s="505">
        <v>250</v>
      </c>
      <c r="T35" s="505">
        <v>1250</v>
      </c>
      <c r="U35" s="505">
        <v>1600</v>
      </c>
      <c r="V35" s="505">
        <v>1600</v>
      </c>
      <c r="W35" s="505">
        <v>1300</v>
      </c>
      <c r="X35" s="502"/>
      <c r="Y35" s="603"/>
      <c r="Z35" s="597">
        <f>'3. DMF Progress'!E15</f>
        <v>7.47</v>
      </c>
      <c r="AA35" s="602">
        <f>'3. DMF Progress'!F15</f>
        <v>0.29880000000000001</v>
      </c>
      <c r="AB35" s="654">
        <f>$Q$35/4</f>
        <v>1</v>
      </c>
      <c r="AC35" s="741">
        <f>'3. DMF Progress'!$P$15/100</f>
        <v>4.8481591666666664E-2</v>
      </c>
      <c r="AD35" s="1065">
        <f>'3. DMF Progress'!$AJ$15/100</f>
        <v>1.9392636666666666E-3</v>
      </c>
      <c r="AE35" s="397"/>
      <c r="AF35" s="654">
        <f>$Q$35/4</f>
        <v>1</v>
      </c>
      <c r="AG35" s="741">
        <f>'3. DMF Progress'!$AA$15/100</f>
        <v>5.3314924999999992E-2</v>
      </c>
      <c r="AH35" s="1065">
        <f>'3. DMF Progress'!$AU$15/100</f>
        <v>2.132597E-3</v>
      </c>
      <c r="AI35" s="397"/>
      <c r="AK35" s="611">
        <f>Y35+AB35+AF35</f>
        <v>2</v>
      </c>
      <c r="AL35" s="740">
        <f>Z35+AC35+AG35</f>
        <v>7.5717965166666659</v>
      </c>
      <c r="AM35" s="745">
        <f>AA35+AD35+AH35</f>
        <v>0.30287186066666671</v>
      </c>
      <c r="AN35" s="1069"/>
    </row>
    <row r="36" spans="1:40" ht="33" customHeight="1">
      <c r="A36" s="496"/>
      <c r="B36" s="497"/>
      <c r="C36" s="497"/>
      <c r="D36" s="497"/>
      <c r="E36" s="583" t="s">
        <v>617</v>
      </c>
      <c r="F36" s="1083"/>
      <c r="G36" s="1083"/>
      <c r="H36" s="667"/>
      <c r="I36" s="504"/>
      <c r="J36" s="499"/>
      <c r="K36" s="504"/>
      <c r="L36" s="390" t="s">
        <v>366</v>
      </c>
      <c r="M36" s="390" t="s">
        <v>229</v>
      </c>
      <c r="N36" s="416" t="s">
        <v>134</v>
      </c>
      <c r="O36" s="501">
        <v>11468</v>
      </c>
      <c r="P36" s="501">
        <v>20000</v>
      </c>
      <c r="Q36" s="501"/>
      <c r="R36" s="505">
        <v>0</v>
      </c>
      <c r="S36" s="505">
        <f>($P$36/$P$35)*S35</f>
        <v>833.33333333333337</v>
      </c>
      <c r="T36" s="505">
        <f t="shared" ref="T36:W36" si="16">($P$36/$P$35)*T35</f>
        <v>4166.666666666667</v>
      </c>
      <c r="U36" s="505">
        <f t="shared" si="16"/>
        <v>5333.3333333333339</v>
      </c>
      <c r="V36" s="505">
        <f t="shared" si="16"/>
        <v>5333.3333333333339</v>
      </c>
      <c r="W36" s="505">
        <f t="shared" si="16"/>
        <v>4333.3333333333339</v>
      </c>
      <c r="X36" s="502"/>
      <c r="Y36" s="603"/>
      <c r="Z36" s="597"/>
      <c r="AA36" s="602"/>
      <c r="AB36" s="654"/>
      <c r="AC36" s="617"/>
      <c r="AD36" s="407"/>
      <c r="AE36" s="397"/>
      <c r="AF36" s="654"/>
      <c r="AG36" s="617"/>
      <c r="AH36" s="407"/>
      <c r="AI36" s="397"/>
      <c r="AK36" s="611"/>
      <c r="AL36" s="740"/>
      <c r="AM36" s="745"/>
    </row>
    <row r="37" spans="1:40" ht="66" customHeight="1">
      <c r="A37" s="496"/>
      <c r="B37" s="497" t="s">
        <v>486</v>
      </c>
      <c r="C37" s="497" t="s">
        <v>512</v>
      </c>
      <c r="D37" s="497"/>
      <c r="E37" s="507" t="s">
        <v>825</v>
      </c>
      <c r="F37" s="1084"/>
      <c r="G37" s="1084">
        <v>40000</v>
      </c>
      <c r="H37" s="668"/>
      <c r="I37" s="498" t="s">
        <v>521</v>
      </c>
      <c r="J37" s="497" t="s">
        <v>474</v>
      </c>
      <c r="K37" s="504"/>
      <c r="L37" s="390" t="s">
        <v>366</v>
      </c>
      <c r="M37" s="390" t="s">
        <v>229</v>
      </c>
      <c r="N37" s="416"/>
      <c r="O37" s="500" t="s">
        <v>515</v>
      </c>
      <c r="P37" s="501">
        <v>20000</v>
      </c>
      <c r="Q37" s="597">
        <f>'3. DMF Progress'!D16</f>
        <v>2</v>
      </c>
      <c r="R37" s="640">
        <f>SUM(R38:R39)</f>
        <v>0</v>
      </c>
      <c r="S37" s="640">
        <v>2500</v>
      </c>
      <c r="T37" s="640">
        <v>5000</v>
      </c>
      <c r="U37" s="640">
        <v>9500</v>
      </c>
      <c r="V37" s="640">
        <v>3000</v>
      </c>
      <c r="W37" s="640">
        <v>0</v>
      </c>
      <c r="X37" s="502"/>
      <c r="Y37" s="603"/>
      <c r="Z37" s="597">
        <f>'3. DMF Progress'!E16</f>
        <v>0.7</v>
      </c>
      <c r="AA37" s="602">
        <f>'3. DMF Progress'!F16</f>
        <v>1.3999999999999999E-2</v>
      </c>
      <c r="AB37" s="654">
        <f>$Q$37/4</f>
        <v>0.5</v>
      </c>
      <c r="AC37" s="741">
        <f>'3. DMF Progress'!$P$16/100</f>
        <v>0.28286440000000002</v>
      </c>
      <c r="AD37" s="1065">
        <f>'3. DMF Progress'!$AJ$16/100</f>
        <v>5.6572879999999999E-3</v>
      </c>
      <c r="AE37" s="397"/>
      <c r="AF37" s="654">
        <f>$Q$37/4</f>
        <v>0.5</v>
      </c>
      <c r="AG37" s="741">
        <f>'3. DMF Progress'!$AA$16/100</f>
        <v>0.44305239999999996</v>
      </c>
      <c r="AH37" s="1065">
        <f>'3. DMF Progress'!$AU$16/100</f>
        <v>8.8610479999999998E-3</v>
      </c>
      <c r="AI37" s="397"/>
      <c r="AK37" s="611">
        <f>Y37+AB37+AF37</f>
        <v>1</v>
      </c>
      <c r="AL37" s="740">
        <f>Z37+AC37+AG37</f>
        <v>1.4259168</v>
      </c>
      <c r="AM37" s="745">
        <f>AA37+AD37+AH37</f>
        <v>2.8518335999999998E-2</v>
      </c>
      <c r="AN37" s="1069"/>
    </row>
    <row r="38" spans="1:40" ht="73.5" customHeight="1">
      <c r="A38" s="496"/>
      <c r="B38" s="497" t="s">
        <v>486</v>
      </c>
      <c r="C38" s="497" t="s">
        <v>513</v>
      </c>
      <c r="D38" s="497"/>
      <c r="E38" s="529" t="s">
        <v>628</v>
      </c>
      <c r="F38" s="1079"/>
      <c r="G38" s="1079"/>
      <c r="H38" s="667"/>
      <c r="I38" s="504"/>
      <c r="J38" s="499"/>
      <c r="K38" s="504"/>
      <c r="L38" s="390" t="s">
        <v>366</v>
      </c>
      <c r="M38" s="390" t="s">
        <v>229</v>
      </c>
      <c r="N38" s="416" t="s">
        <v>134</v>
      </c>
      <c r="O38" s="501">
        <v>11468</v>
      </c>
      <c r="P38" s="501">
        <v>20000</v>
      </c>
      <c r="Q38" s="501"/>
      <c r="R38" s="505">
        <v>0</v>
      </c>
      <c r="S38" s="505">
        <f>S37/2</f>
        <v>1250</v>
      </c>
      <c r="T38" s="505">
        <f>T37/2</f>
        <v>2500</v>
      </c>
      <c r="U38" s="505">
        <f t="shared" ref="U38:W38" si="17">U37/2</f>
        <v>4750</v>
      </c>
      <c r="V38" s="505">
        <f t="shared" si="17"/>
        <v>1500</v>
      </c>
      <c r="W38" s="505">
        <f t="shared" si="17"/>
        <v>0</v>
      </c>
      <c r="X38" s="502"/>
      <c r="Y38" s="603"/>
      <c r="Z38" s="597"/>
      <c r="AA38" s="602"/>
      <c r="AB38" s="654"/>
      <c r="AC38" s="617"/>
      <c r="AD38" s="407"/>
      <c r="AE38" s="397"/>
      <c r="AF38" s="654"/>
      <c r="AG38" s="617"/>
      <c r="AH38" s="407"/>
      <c r="AI38" s="397"/>
      <c r="AK38" s="611"/>
      <c r="AL38" s="740"/>
      <c r="AM38" s="745"/>
    </row>
    <row r="39" spans="1:40" ht="66.75" customHeight="1">
      <c r="A39" s="496"/>
      <c r="B39" s="497" t="s">
        <v>487</v>
      </c>
      <c r="C39" s="497" t="s">
        <v>514</v>
      </c>
      <c r="D39" s="497"/>
      <c r="E39" s="529" t="s">
        <v>629</v>
      </c>
      <c r="F39" s="1079"/>
      <c r="G39" s="1079"/>
      <c r="H39" s="667"/>
      <c r="I39" s="504"/>
      <c r="J39" s="499"/>
      <c r="K39" s="504"/>
      <c r="L39" s="390" t="s">
        <v>366</v>
      </c>
      <c r="M39" s="390" t="s">
        <v>229</v>
      </c>
      <c r="N39" s="416" t="s">
        <v>435</v>
      </c>
      <c r="O39" s="501">
        <v>11468</v>
      </c>
      <c r="P39" s="501">
        <v>20000</v>
      </c>
      <c r="Q39" s="501"/>
      <c r="R39" s="505">
        <v>0</v>
      </c>
      <c r="S39" s="505">
        <f>S37/2</f>
        <v>1250</v>
      </c>
      <c r="T39" s="505">
        <f t="shared" ref="T39:W39" si="18">T37/2</f>
        <v>2500</v>
      </c>
      <c r="U39" s="505">
        <f t="shared" si="18"/>
        <v>4750</v>
      </c>
      <c r="V39" s="505">
        <f t="shared" si="18"/>
        <v>1500</v>
      </c>
      <c r="W39" s="505">
        <f t="shared" si="18"/>
        <v>0</v>
      </c>
      <c r="X39" s="502"/>
      <c r="Y39" s="603"/>
      <c r="Z39" s="597"/>
      <c r="AA39" s="602"/>
      <c r="AB39" s="654"/>
      <c r="AC39" s="617"/>
      <c r="AD39" s="407"/>
      <c r="AE39" s="397"/>
      <c r="AF39" s="654"/>
      <c r="AG39" s="617"/>
      <c r="AH39" s="407"/>
      <c r="AI39" s="397"/>
      <c r="AK39" s="611"/>
      <c r="AL39" s="740"/>
      <c r="AM39" s="745"/>
    </row>
    <row r="40" spans="1:40" s="572" customFormat="1" ht="33" customHeight="1">
      <c r="A40" s="559"/>
      <c r="B40" s="560" t="s">
        <v>388</v>
      </c>
      <c r="C40" s="560"/>
      <c r="D40" s="560"/>
      <c r="E40" s="561" t="s">
        <v>398</v>
      </c>
      <c r="F40" s="1081">
        <f>SUM(F41:F55)</f>
        <v>0</v>
      </c>
      <c r="G40" s="1081">
        <f>SUM(G41:G55)</f>
        <v>69100</v>
      </c>
      <c r="H40" s="562"/>
      <c r="I40" s="563"/>
      <c r="J40" s="564"/>
      <c r="K40" s="563"/>
      <c r="L40" s="565"/>
      <c r="M40" s="565"/>
      <c r="N40" s="566"/>
      <c r="O40" s="567"/>
      <c r="P40" s="568"/>
      <c r="Q40" s="568">
        <f>'3. DMF Progress'!D36</f>
        <v>20</v>
      </c>
      <c r="R40" s="614"/>
      <c r="S40" s="614"/>
      <c r="T40" s="614"/>
      <c r="U40" s="614"/>
      <c r="V40" s="614"/>
      <c r="W40" s="614"/>
      <c r="X40" s="615"/>
      <c r="Y40" s="662"/>
      <c r="Z40" s="686">
        <f>'3. DMF Progress'!AF25</f>
        <v>2.0031597222222222</v>
      </c>
      <c r="AA40" s="686">
        <f>'3. DMF Progress'!F25</f>
        <v>2.9565000000000001</v>
      </c>
      <c r="AB40" s="1073">
        <f>$Q$40/4</f>
        <v>5</v>
      </c>
      <c r="AC40" s="686">
        <f>'3. DMF Progress'!$P$25/100</f>
        <v>1.6198105669265757</v>
      </c>
      <c r="AD40" s="1067">
        <f>'3. DMF Progress'!$AJ$25/100</f>
        <v>6.9481114766081875E-2</v>
      </c>
      <c r="AE40" s="562"/>
      <c r="AF40" s="1070">
        <f>$Q$40/4</f>
        <v>5</v>
      </c>
      <c r="AG40" s="686">
        <f>'3. DMF Progress'!$AA$25/100</f>
        <v>2.501115990269656</v>
      </c>
      <c r="AH40" s="1067">
        <f>'3. DMF Progress'!$AU$25/100</f>
        <v>0.10116222389619883</v>
      </c>
      <c r="AI40" s="562"/>
      <c r="AK40" s="611"/>
      <c r="AL40" s="740">
        <f>Z40+AC40+AG40</f>
        <v>6.1240862794184538</v>
      </c>
      <c r="AM40" s="745">
        <f>AA40+AD40+AH40</f>
        <v>3.1271433386622807</v>
      </c>
      <c r="AN40" s="1069"/>
    </row>
    <row r="41" spans="1:40" ht="51" customHeight="1">
      <c r="A41" s="496">
        <v>10</v>
      </c>
      <c r="B41" s="497" t="s">
        <v>399</v>
      </c>
      <c r="C41" s="497" t="s">
        <v>419</v>
      </c>
      <c r="D41" s="497"/>
      <c r="E41" s="531" t="s">
        <v>400</v>
      </c>
      <c r="F41" s="1080"/>
      <c r="G41" s="1080">
        <f>90+10</f>
        <v>100</v>
      </c>
      <c r="H41" s="668" t="s">
        <v>679</v>
      </c>
      <c r="I41" s="504" t="s">
        <v>744</v>
      </c>
      <c r="J41" s="499" t="s">
        <v>660</v>
      </c>
      <c r="K41" s="504"/>
      <c r="L41" s="390" t="s">
        <v>366</v>
      </c>
      <c r="M41" s="390" t="s">
        <v>229</v>
      </c>
      <c r="N41" s="416" t="s">
        <v>100</v>
      </c>
      <c r="O41" s="505">
        <v>0</v>
      </c>
      <c r="P41" s="641">
        <f>SUM(P42:P43)</f>
        <v>3</v>
      </c>
      <c r="Q41" s="597">
        <f>'3. DMF Progress'!D19</f>
        <v>5</v>
      </c>
      <c r="R41" s="640">
        <f t="shared" ref="R41:W41" si="19">SUM(R42:R43)</f>
        <v>0</v>
      </c>
      <c r="S41" s="640">
        <f>SUM(S42:S43)</f>
        <v>0</v>
      </c>
      <c r="T41" s="640">
        <f t="shared" si="19"/>
        <v>0</v>
      </c>
      <c r="U41" s="640">
        <f t="shared" si="19"/>
        <v>3</v>
      </c>
      <c r="V41" s="640">
        <f t="shared" si="19"/>
        <v>0</v>
      </c>
      <c r="W41" s="640">
        <f t="shared" si="19"/>
        <v>0</v>
      </c>
      <c r="X41" s="502"/>
      <c r="Y41" s="603"/>
      <c r="Z41" s="597">
        <f>'3. DMF Progress'!E19</f>
        <v>6.25</v>
      </c>
      <c r="AA41" s="602">
        <f>'3. DMF Progress'!F19</f>
        <v>0.3125</v>
      </c>
      <c r="AB41" s="654">
        <f>$Q$41/4</f>
        <v>1.25</v>
      </c>
      <c r="AC41" s="741">
        <f>'3. DMF Progress'!$P$19/100</f>
        <v>7.1304166666666668E-2</v>
      </c>
      <c r="AD41" s="1065">
        <f>'3. DMF Progress'!$AJ$19/100</f>
        <v>5.1693750000000004E-3</v>
      </c>
      <c r="AE41" s="397"/>
      <c r="AF41" s="654">
        <f>$Q$41/4</f>
        <v>1.25</v>
      </c>
      <c r="AG41" s="741">
        <f>'3. DMF Progress'!$AA$19/100</f>
        <v>9.8266641666666668E-2</v>
      </c>
      <c r="AH41" s="1065">
        <f>'3. DMF Progress'!$AU$19/100</f>
        <v>6.5174987500000005E-3</v>
      </c>
      <c r="AI41" s="397"/>
      <c r="AK41" s="611">
        <f>Y41+AB41+AF41</f>
        <v>2.5</v>
      </c>
      <c r="AL41" s="740">
        <f>Z41+AC41+AG41</f>
        <v>6.4195708083333338</v>
      </c>
      <c r="AM41" s="745">
        <f>AA41+AD41+AH41</f>
        <v>0.32418687374999999</v>
      </c>
      <c r="AN41" s="1069"/>
    </row>
    <row r="42" spans="1:40" ht="33" customHeight="1">
      <c r="A42" s="496"/>
      <c r="B42" s="497" t="s">
        <v>488</v>
      </c>
      <c r="C42" s="497"/>
      <c r="D42" s="497"/>
      <c r="E42" s="529" t="s">
        <v>631</v>
      </c>
      <c r="F42" s="1079"/>
      <c r="G42" s="1079"/>
      <c r="H42" s="667"/>
      <c r="I42" s="504"/>
      <c r="J42" s="499"/>
      <c r="K42" s="504"/>
      <c r="L42" s="390" t="s">
        <v>366</v>
      </c>
      <c r="M42" s="390" t="s">
        <v>229</v>
      </c>
      <c r="N42" s="416" t="s">
        <v>100</v>
      </c>
      <c r="O42" s="505">
        <v>0</v>
      </c>
      <c r="P42" s="501">
        <v>2</v>
      </c>
      <c r="Q42" s="501"/>
      <c r="R42" s="505">
        <v>0</v>
      </c>
      <c r="S42" s="505">
        <v>0</v>
      </c>
      <c r="T42" s="505">
        <v>0</v>
      </c>
      <c r="U42" s="505">
        <v>2</v>
      </c>
      <c r="V42" s="505">
        <v>0</v>
      </c>
      <c r="W42" s="505">
        <v>0</v>
      </c>
      <c r="X42" s="502"/>
      <c r="Y42" s="603"/>
      <c r="Z42" s="597"/>
      <c r="AA42" s="602"/>
      <c r="AB42" s="654"/>
      <c r="AC42" s="617"/>
      <c r="AD42" s="740"/>
      <c r="AE42" s="397"/>
      <c r="AF42" s="654"/>
      <c r="AG42" s="617"/>
      <c r="AH42" s="740"/>
      <c r="AI42" s="397"/>
      <c r="AK42" s="611"/>
      <c r="AL42" s="740"/>
      <c r="AM42" s="745"/>
    </row>
    <row r="43" spans="1:40" ht="33" customHeight="1">
      <c r="A43" s="496"/>
      <c r="B43" s="497" t="s">
        <v>489</v>
      </c>
      <c r="C43" s="497"/>
      <c r="D43" s="497"/>
      <c r="E43" s="529" t="s">
        <v>632</v>
      </c>
      <c r="F43" s="1079"/>
      <c r="G43" s="1079"/>
      <c r="H43" s="667"/>
      <c r="I43" s="504"/>
      <c r="J43" s="499"/>
      <c r="K43" s="504"/>
      <c r="L43" s="390" t="s">
        <v>366</v>
      </c>
      <c r="M43" s="390" t="s">
        <v>229</v>
      </c>
      <c r="N43" s="416" t="s">
        <v>100</v>
      </c>
      <c r="O43" s="505">
        <v>0</v>
      </c>
      <c r="P43" s="501">
        <v>1</v>
      </c>
      <c r="Q43" s="501"/>
      <c r="R43" s="505">
        <v>0</v>
      </c>
      <c r="S43" s="505">
        <v>0</v>
      </c>
      <c r="T43" s="505">
        <v>0</v>
      </c>
      <c r="U43" s="505">
        <v>1</v>
      </c>
      <c r="V43" s="505">
        <v>0</v>
      </c>
      <c r="W43" s="505">
        <v>0</v>
      </c>
      <c r="X43" s="502"/>
      <c r="Y43" s="603"/>
      <c r="Z43" s="597"/>
      <c r="AA43" s="602"/>
      <c r="AB43" s="654"/>
      <c r="AC43" s="617"/>
      <c r="AD43" s="740"/>
      <c r="AE43" s="397"/>
      <c r="AF43" s="654"/>
      <c r="AG43" s="617"/>
      <c r="AH43" s="740"/>
      <c r="AI43" s="397"/>
      <c r="AK43" s="611"/>
      <c r="AL43" s="740"/>
      <c r="AM43" s="745"/>
    </row>
    <row r="44" spans="1:40" ht="85.9" customHeight="1">
      <c r="A44" s="496">
        <v>11</v>
      </c>
      <c r="B44" s="497" t="s">
        <v>403</v>
      </c>
      <c r="C44" s="497" t="s">
        <v>420</v>
      </c>
      <c r="D44" s="497"/>
      <c r="E44" s="528" t="s">
        <v>401</v>
      </c>
      <c r="F44" s="1078"/>
      <c r="G44" s="1078">
        <f>40000+20000+500+8000</f>
        <v>68500</v>
      </c>
      <c r="H44" s="668" t="s">
        <v>679</v>
      </c>
      <c r="I44" s="504" t="s">
        <v>523</v>
      </c>
      <c r="J44" s="499" t="s">
        <v>660</v>
      </c>
      <c r="K44" s="504"/>
      <c r="L44" s="390" t="s">
        <v>366</v>
      </c>
      <c r="M44" s="390" t="s">
        <v>229</v>
      </c>
      <c r="N44" s="416"/>
      <c r="O44" s="500" t="s">
        <v>515</v>
      </c>
      <c r="P44" s="501">
        <f>SUM(P45:P46)</f>
        <v>40000</v>
      </c>
      <c r="Q44" s="597">
        <f>'3. DMF Progress'!D20</f>
        <v>5</v>
      </c>
      <c r="R44" s="505">
        <v>0</v>
      </c>
      <c r="S44" s="505">
        <v>2500</v>
      </c>
      <c r="T44" s="505">
        <v>10000</v>
      </c>
      <c r="U44" s="505">
        <v>9500</v>
      </c>
      <c r="V44" s="505">
        <v>9000</v>
      </c>
      <c r="W44" s="505">
        <v>9000</v>
      </c>
      <c r="X44" s="502"/>
      <c r="Y44" s="603"/>
      <c r="Z44" s="597">
        <f>'3. DMF Progress'!E20</f>
        <v>16.98</v>
      </c>
      <c r="AA44" s="602">
        <f>'3. DMF Progress'!F20</f>
        <v>0.84900000000000009</v>
      </c>
      <c r="AB44" s="654">
        <f>$Q$44/4</f>
        <v>1.25</v>
      </c>
      <c r="AC44" s="741">
        <f>'3. DMF Progress'!$P$20/100</f>
        <v>0.15195701754385962</v>
      </c>
      <c r="AD44" s="1065">
        <f>'3. DMF Progress'!$AJ$20/100</f>
        <v>9.0511842105263154E-3</v>
      </c>
      <c r="AE44" s="397"/>
      <c r="AF44" s="654">
        <f>$Q$44/4</f>
        <v>1.25</v>
      </c>
      <c r="AG44" s="741">
        <f>'3. DMF Progress'!$AA$20/100</f>
        <v>0.54553978070175446</v>
      </c>
      <c r="AH44" s="1065">
        <f>'3. DMF Progress'!$AU$20/100</f>
        <v>2.873032236842105E-2</v>
      </c>
      <c r="AI44" s="397"/>
      <c r="AK44" s="611">
        <f>Y44+AB44+AF44</f>
        <v>2.5</v>
      </c>
      <c r="AL44" s="740">
        <f>Z44+AC44+AG44</f>
        <v>17.677496798245617</v>
      </c>
      <c r="AM44" s="745">
        <f>AA44+AD44+AH44</f>
        <v>0.8867815065789475</v>
      </c>
      <c r="AN44" s="1069"/>
    </row>
    <row r="45" spans="1:40" ht="35.1" customHeight="1">
      <c r="A45" s="496"/>
      <c r="B45" s="497" t="s">
        <v>490</v>
      </c>
      <c r="C45" s="497"/>
      <c r="D45" s="497"/>
      <c r="E45" s="529" t="s">
        <v>618</v>
      </c>
      <c r="F45" s="1079"/>
      <c r="G45" s="1079"/>
      <c r="H45" s="667"/>
      <c r="I45" s="504"/>
      <c r="J45" s="499"/>
      <c r="K45" s="504"/>
      <c r="L45" s="390"/>
      <c r="M45" s="390"/>
      <c r="N45" s="416" t="s">
        <v>134</v>
      </c>
      <c r="O45" s="500" t="s">
        <v>515</v>
      </c>
      <c r="P45" s="501">
        <v>20000</v>
      </c>
      <c r="Q45" s="501"/>
      <c r="R45" s="505">
        <v>0</v>
      </c>
      <c r="S45" s="505">
        <v>501</v>
      </c>
      <c r="T45" s="505">
        <f t="shared" ref="T45" si="20">T44/2</f>
        <v>5000</v>
      </c>
      <c r="U45" s="505">
        <v>5000</v>
      </c>
      <c r="V45" s="505">
        <v>5000</v>
      </c>
      <c r="W45" s="505">
        <f>(W44/2)-1</f>
        <v>4499</v>
      </c>
      <c r="X45" s="502"/>
      <c r="Y45" s="603"/>
      <c r="Z45" s="597"/>
      <c r="AA45" s="602"/>
      <c r="AB45" s="654"/>
      <c r="AC45" s="617"/>
      <c r="AD45" s="740"/>
      <c r="AE45" s="397"/>
      <c r="AF45" s="654"/>
      <c r="AG45" s="617"/>
      <c r="AH45" s="740"/>
      <c r="AI45" s="397"/>
      <c r="AK45" s="611"/>
      <c r="AL45" s="740"/>
      <c r="AM45" s="745"/>
    </row>
    <row r="46" spans="1:40" ht="35.1" customHeight="1">
      <c r="A46" s="496"/>
      <c r="B46" s="497" t="s">
        <v>491</v>
      </c>
      <c r="C46" s="497"/>
      <c r="D46" s="497"/>
      <c r="E46" s="529" t="s">
        <v>619</v>
      </c>
      <c r="F46" s="1079"/>
      <c r="G46" s="1079"/>
      <c r="H46" s="667"/>
      <c r="I46" s="504"/>
      <c r="J46" s="499"/>
      <c r="K46" s="504"/>
      <c r="L46" s="390"/>
      <c r="M46" s="390"/>
      <c r="N46" s="416" t="s">
        <v>134</v>
      </c>
      <c r="O46" s="500" t="s">
        <v>515</v>
      </c>
      <c r="P46" s="501">
        <v>20000</v>
      </c>
      <c r="Q46" s="501"/>
      <c r="R46" s="505">
        <v>0</v>
      </c>
      <c r="S46" s="505">
        <v>250</v>
      </c>
      <c r="T46" s="505">
        <f>4000+(4000-250)/4</f>
        <v>4937.5</v>
      </c>
      <c r="U46" s="505">
        <f t="shared" ref="U46:W46" si="21">4000+(4000-250)/4</f>
        <v>4937.5</v>
      </c>
      <c r="V46" s="505">
        <f t="shared" si="21"/>
        <v>4937.5</v>
      </c>
      <c r="W46" s="505">
        <f t="shared" si="21"/>
        <v>4937.5</v>
      </c>
      <c r="X46" s="502"/>
      <c r="Y46" s="603"/>
      <c r="Z46" s="597"/>
      <c r="AA46" s="602"/>
      <c r="AB46" s="654"/>
      <c r="AC46" s="617"/>
      <c r="AD46" s="407"/>
      <c r="AE46" s="397"/>
      <c r="AF46" s="654"/>
      <c r="AG46" s="617"/>
      <c r="AH46" s="407"/>
      <c r="AI46" s="397"/>
      <c r="AK46" s="611"/>
      <c r="AL46" s="740"/>
      <c r="AM46" s="745"/>
    </row>
    <row r="47" spans="1:40" ht="51" customHeight="1">
      <c r="A47" s="496"/>
      <c r="B47" s="497" t="s">
        <v>492</v>
      </c>
      <c r="C47" s="497"/>
      <c r="D47" s="497"/>
      <c r="E47" s="529" t="s">
        <v>620</v>
      </c>
      <c r="F47" s="1079"/>
      <c r="G47" s="1079"/>
      <c r="H47" s="667"/>
      <c r="I47" s="504"/>
      <c r="J47" s="499"/>
      <c r="K47" s="504"/>
      <c r="L47" s="390"/>
      <c r="M47" s="390"/>
      <c r="N47" s="416" t="s">
        <v>134</v>
      </c>
      <c r="O47" s="505">
        <v>0</v>
      </c>
      <c r="P47" s="501">
        <f>50%*(P46+P45)</f>
        <v>20000</v>
      </c>
      <c r="Q47" s="501"/>
      <c r="R47" s="505">
        <v>0</v>
      </c>
      <c r="S47" s="505">
        <v>875</v>
      </c>
      <c r="T47" s="505">
        <f>4000+(4000-$S$47)/4</f>
        <v>4781.25</v>
      </c>
      <c r="U47" s="505">
        <f t="shared" ref="U47:W47" si="22">4000+(4000-$S$47)/4</f>
        <v>4781.25</v>
      </c>
      <c r="V47" s="505">
        <f t="shared" si="22"/>
        <v>4781.25</v>
      </c>
      <c r="W47" s="505">
        <f t="shared" si="22"/>
        <v>4781.25</v>
      </c>
      <c r="X47" s="502"/>
      <c r="Y47" s="603"/>
      <c r="Z47" s="597"/>
      <c r="AA47" s="602"/>
      <c r="AB47" s="654"/>
      <c r="AC47" s="617"/>
      <c r="AD47" s="740"/>
      <c r="AE47" s="397"/>
      <c r="AF47" s="654"/>
      <c r="AG47" s="617"/>
      <c r="AH47" s="740"/>
      <c r="AI47" s="397"/>
      <c r="AK47" s="611"/>
      <c r="AL47" s="740"/>
      <c r="AM47" s="745"/>
    </row>
    <row r="48" spans="1:40" ht="51" customHeight="1">
      <c r="A48" s="496"/>
      <c r="B48" s="497"/>
      <c r="C48" s="497"/>
      <c r="D48" s="497"/>
      <c r="E48" s="529" t="s">
        <v>667</v>
      </c>
      <c r="F48" s="1079"/>
      <c r="G48" s="1079"/>
      <c r="H48" s="667"/>
      <c r="I48" s="504"/>
      <c r="J48" s="499"/>
      <c r="K48" s="504"/>
      <c r="L48" s="390"/>
      <c r="M48" s="390"/>
      <c r="N48" s="416"/>
      <c r="O48" s="500" t="s">
        <v>515</v>
      </c>
      <c r="P48" s="501">
        <v>500</v>
      </c>
      <c r="Q48" s="501"/>
      <c r="R48" s="505">
        <v>0</v>
      </c>
      <c r="S48" s="505">
        <v>250</v>
      </c>
      <c r="T48" s="505">
        <v>250</v>
      </c>
      <c r="U48" s="505">
        <v>0</v>
      </c>
      <c r="V48" s="505">
        <v>0</v>
      </c>
      <c r="W48" s="505">
        <v>0</v>
      </c>
      <c r="X48" s="502"/>
      <c r="Y48" s="603"/>
      <c r="Z48" s="597"/>
      <c r="AA48" s="602"/>
      <c r="AB48" s="654"/>
      <c r="AC48" s="617"/>
      <c r="AD48" s="740"/>
      <c r="AE48" s="397"/>
      <c r="AF48" s="654"/>
      <c r="AG48" s="617"/>
      <c r="AH48" s="740"/>
      <c r="AI48" s="397"/>
      <c r="AK48" s="611"/>
      <c r="AL48" s="740"/>
      <c r="AM48" s="745"/>
    </row>
    <row r="49" spans="1:40" ht="51" customHeight="1">
      <c r="A49" s="496"/>
      <c r="B49" s="497"/>
      <c r="C49" s="497"/>
      <c r="D49" s="497"/>
      <c r="E49" s="529" t="s">
        <v>699</v>
      </c>
      <c r="F49" s="1079"/>
      <c r="G49" s="1079"/>
      <c r="H49" s="667"/>
      <c r="I49" s="504"/>
      <c r="J49" s="499"/>
      <c r="K49" s="504"/>
      <c r="L49" s="390"/>
      <c r="M49" s="390"/>
      <c r="N49" s="416"/>
      <c r="O49" s="500" t="s">
        <v>515</v>
      </c>
      <c r="P49" s="501">
        <f>20%*P44</f>
        <v>8000</v>
      </c>
      <c r="Q49" s="501"/>
      <c r="R49" s="505">
        <v>0</v>
      </c>
      <c r="S49" s="505">
        <v>496</v>
      </c>
      <c r="T49" s="505">
        <f>2000+(2000-$S$49)/4</f>
        <v>2376</v>
      </c>
      <c r="U49" s="505">
        <v>2000</v>
      </c>
      <c r="V49" s="505">
        <v>2000</v>
      </c>
      <c r="W49" s="505">
        <f>2000-872</f>
        <v>1128</v>
      </c>
      <c r="X49" s="502"/>
      <c r="Y49" s="603"/>
      <c r="Z49" s="597"/>
      <c r="AA49" s="602"/>
      <c r="AB49" s="654"/>
      <c r="AC49" s="617"/>
      <c r="AD49" s="740"/>
      <c r="AE49" s="397"/>
      <c r="AF49" s="654"/>
      <c r="AG49" s="617"/>
      <c r="AH49" s="740"/>
      <c r="AI49" s="397"/>
      <c r="AK49" s="611"/>
      <c r="AL49" s="740"/>
      <c r="AM49" s="745"/>
    </row>
    <row r="50" spans="1:40" ht="77.45" customHeight="1">
      <c r="A50" s="496">
        <v>12</v>
      </c>
      <c r="B50" s="497" t="s">
        <v>404</v>
      </c>
      <c r="C50" s="497" t="s">
        <v>442</v>
      </c>
      <c r="D50" s="497"/>
      <c r="E50" s="528" t="s">
        <v>678</v>
      </c>
      <c r="F50" s="1078"/>
      <c r="G50" s="1078"/>
      <c r="H50" s="668" t="s">
        <v>679</v>
      </c>
      <c r="I50" s="504" t="s">
        <v>524</v>
      </c>
      <c r="J50" s="499" t="s">
        <v>660</v>
      </c>
      <c r="K50" s="504"/>
      <c r="L50" s="390" t="s">
        <v>366</v>
      </c>
      <c r="M50" s="390" t="s">
        <v>229</v>
      </c>
      <c r="N50" s="416" t="s">
        <v>188</v>
      </c>
      <c r="O50" s="505">
        <v>0</v>
      </c>
      <c r="P50" s="501"/>
      <c r="Q50" s="597"/>
      <c r="R50" s="640"/>
      <c r="S50" s="640"/>
      <c r="T50" s="640"/>
      <c r="U50" s="640"/>
      <c r="V50" s="640"/>
      <c r="W50" s="640"/>
      <c r="X50" s="608"/>
      <c r="Y50" s="1071"/>
      <c r="Z50" s="1071"/>
      <c r="AA50" s="1071"/>
      <c r="AB50" s="1072">
        <f>SUM(AB51:AB52)</f>
        <v>1.5</v>
      </c>
      <c r="AC50" s="741">
        <f>SUM(AC51:AC52)</f>
        <v>0.42654938271604936</v>
      </c>
      <c r="AD50" s="740">
        <f>SUM(AD51:AD52)</f>
        <v>3.1900555555555557E-2</v>
      </c>
      <c r="AE50" s="397"/>
      <c r="AF50" s="654"/>
      <c r="AG50" s="617"/>
      <c r="AH50" s="740">
        <f>SUM(AH51:AH52)</f>
        <v>3.6216486111111112E-2</v>
      </c>
      <c r="AI50" s="397"/>
      <c r="AK50" s="611"/>
      <c r="AL50" s="740"/>
      <c r="AM50" s="745"/>
    </row>
    <row r="51" spans="1:40" ht="55.5" customHeight="1">
      <c r="A51" s="496"/>
      <c r="B51" s="497" t="s">
        <v>493</v>
      </c>
      <c r="C51" s="497" t="s">
        <v>685</v>
      </c>
      <c r="D51" s="497"/>
      <c r="E51" s="529" t="s">
        <v>680</v>
      </c>
      <c r="F51" s="1079"/>
      <c r="G51" s="1079"/>
      <c r="H51" s="667"/>
      <c r="I51" s="504" t="s">
        <v>681</v>
      </c>
      <c r="J51" s="499"/>
      <c r="K51" s="504"/>
      <c r="L51" s="390" t="s">
        <v>366</v>
      </c>
      <c r="M51" s="390" t="s">
        <v>229</v>
      </c>
      <c r="N51" s="416" t="s">
        <v>188</v>
      </c>
      <c r="O51" s="505">
        <v>0</v>
      </c>
      <c r="P51" s="501">
        <v>27</v>
      </c>
      <c r="Q51" s="597">
        <f>'3. DMF Progress'!D21</f>
        <v>3</v>
      </c>
      <c r="R51" s="505">
        <v>0</v>
      </c>
      <c r="S51" s="505">
        <v>10</v>
      </c>
      <c r="T51" s="505">
        <v>8</v>
      </c>
      <c r="U51" s="505">
        <v>9</v>
      </c>
      <c r="V51" s="505">
        <v>0</v>
      </c>
      <c r="W51" s="505">
        <v>0</v>
      </c>
      <c r="X51" s="502"/>
      <c r="Y51" s="603"/>
      <c r="Z51" s="597">
        <f>'3. DMF Progress'!E21</f>
        <v>12.1</v>
      </c>
      <c r="AA51" s="602">
        <f>'3. DMF Progress'!F21</f>
        <v>0.36299999999999999</v>
      </c>
      <c r="AB51" s="654">
        <f>$Q$51/4</f>
        <v>0.75</v>
      </c>
      <c r="AC51" s="741">
        <f>'3. DMF Progress'!$P$21/100</f>
        <v>0.26154938271604938</v>
      </c>
      <c r="AD51" s="1065">
        <f>'3. DMF Progress'!$AJ$21/100</f>
        <v>1.9150555555555556E-2</v>
      </c>
      <c r="AE51" s="397"/>
      <c r="AF51" s="654">
        <f>$Q$51/4</f>
        <v>0.75</v>
      </c>
      <c r="AG51" s="741">
        <f>'3. DMF Progress'!$AA$21/100</f>
        <v>0.3767137345679013</v>
      </c>
      <c r="AH51" s="1065">
        <f>'3. DMF Progress'!$AU$21/100</f>
        <v>2.2605486111111111E-2</v>
      </c>
      <c r="AI51" s="397"/>
      <c r="AK51" s="611">
        <f t="shared" ref="AK51:AM52" si="23">Y51+AB51+AF51</f>
        <v>1.5</v>
      </c>
      <c r="AL51" s="740">
        <f t="shared" si="23"/>
        <v>12.738263117283951</v>
      </c>
      <c r="AM51" s="745">
        <f t="shared" si="23"/>
        <v>0.40475604166666668</v>
      </c>
      <c r="AN51" s="1069"/>
    </row>
    <row r="52" spans="1:40" ht="51" customHeight="1">
      <c r="A52" s="496"/>
      <c r="B52" s="497" t="s">
        <v>494</v>
      </c>
      <c r="C52" s="497" t="s">
        <v>686</v>
      </c>
      <c r="D52" s="497"/>
      <c r="E52" s="529" t="s">
        <v>621</v>
      </c>
      <c r="F52" s="1079"/>
      <c r="G52" s="1079">
        <v>500</v>
      </c>
      <c r="H52" s="667"/>
      <c r="I52" s="504"/>
      <c r="J52" s="499"/>
      <c r="K52" s="504"/>
      <c r="L52" s="390" t="s">
        <v>366</v>
      </c>
      <c r="M52" s="390" t="s">
        <v>229</v>
      </c>
      <c r="N52" s="416" t="s">
        <v>134</v>
      </c>
      <c r="O52" s="505">
        <v>0</v>
      </c>
      <c r="P52" s="501">
        <v>500</v>
      </c>
      <c r="Q52" s="597">
        <f>'3. DMF Progress'!D22</f>
        <v>3</v>
      </c>
      <c r="R52" s="505">
        <v>0</v>
      </c>
      <c r="S52" s="505">
        <v>100</v>
      </c>
      <c r="T52" s="505">
        <v>100</v>
      </c>
      <c r="U52" s="505">
        <v>100</v>
      </c>
      <c r="V52" s="505">
        <v>100</v>
      </c>
      <c r="W52" s="505">
        <v>100</v>
      </c>
      <c r="X52" s="502"/>
      <c r="Y52" s="603"/>
      <c r="Z52" s="597">
        <f>'3. DMF Progress'!E22</f>
        <v>10</v>
      </c>
      <c r="AA52" s="602">
        <f>'3. DMF Progress'!F22</f>
        <v>0.3</v>
      </c>
      <c r="AB52" s="654">
        <f>$Q$52/4</f>
        <v>0.75</v>
      </c>
      <c r="AC52" s="741">
        <f>'3. DMF Progress'!$P$22/100</f>
        <v>0.16500000000000001</v>
      </c>
      <c r="AD52" s="1065">
        <f>'3. DMF Progress'!$AJ$22/100</f>
        <v>1.2749999999999999E-2</v>
      </c>
      <c r="AE52" s="397"/>
      <c r="AF52" s="654">
        <f>$Q$52/4</f>
        <v>0.75</v>
      </c>
      <c r="AG52" s="741">
        <f>'3. DMF Progress'!$AA$22/100</f>
        <v>0.19369999999999998</v>
      </c>
      <c r="AH52" s="1065">
        <f>'3. DMF Progress'!$AU$22/100</f>
        <v>1.3611E-2</v>
      </c>
      <c r="AI52" s="397"/>
      <c r="AK52" s="611">
        <f t="shared" si="23"/>
        <v>1.5</v>
      </c>
      <c r="AL52" s="740">
        <f t="shared" si="23"/>
        <v>10.358699999999999</v>
      </c>
      <c r="AM52" s="745">
        <f t="shared" si="23"/>
        <v>0.32636099999999996</v>
      </c>
      <c r="AN52" s="1069"/>
    </row>
    <row r="53" spans="1:40" ht="81.75" customHeight="1">
      <c r="A53" s="496">
        <v>13</v>
      </c>
      <c r="B53" s="497" t="s">
        <v>405</v>
      </c>
      <c r="C53" s="497" t="s">
        <v>443</v>
      </c>
      <c r="D53" s="497"/>
      <c r="E53" s="528" t="s">
        <v>682</v>
      </c>
      <c r="F53" s="1078"/>
      <c r="G53" s="1078"/>
      <c r="H53" s="668" t="s">
        <v>679</v>
      </c>
      <c r="I53" s="504" t="s">
        <v>525</v>
      </c>
      <c r="J53" s="499" t="s">
        <v>660</v>
      </c>
      <c r="K53" s="504"/>
      <c r="L53" s="390" t="s">
        <v>366</v>
      </c>
      <c r="M53" s="390" t="s">
        <v>229</v>
      </c>
      <c r="N53" s="416"/>
      <c r="O53" s="505">
        <v>0</v>
      </c>
      <c r="P53" s="501">
        <f>SUM(P54:P55)</f>
        <v>8</v>
      </c>
      <c r="Q53" s="597"/>
      <c r="R53" s="505"/>
      <c r="S53" s="640">
        <f>SUM(S54:S55)</f>
        <v>6</v>
      </c>
      <c r="T53" s="640">
        <f>S53</f>
        <v>6</v>
      </c>
      <c r="U53" s="640">
        <f t="shared" ref="U53:W53" si="24">SUM(U54:U55)</f>
        <v>2</v>
      </c>
      <c r="V53" s="640">
        <f t="shared" si="24"/>
        <v>0</v>
      </c>
      <c r="W53" s="640">
        <f t="shared" si="24"/>
        <v>0</v>
      </c>
      <c r="X53" s="608"/>
      <c r="Y53" s="1071"/>
      <c r="Z53" s="1071"/>
      <c r="AA53" s="1071"/>
      <c r="AB53" s="1072">
        <f>SUM(AB54:AB55)</f>
        <v>1</v>
      </c>
      <c r="AC53" s="741">
        <f>SUM(AC54:AC55)</f>
        <v>0.97</v>
      </c>
      <c r="AD53" s="740">
        <f>SUM(AD54:AD55)</f>
        <v>2.3359999999999999E-2</v>
      </c>
      <c r="AE53" s="397"/>
      <c r="AF53" s="654"/>
      <c r="AG53" s="741">
        <f>SUM(AG54:AG55)</f>
        <v>1.2868958333333333</v>
      </c>
      <c r="AH53" s="740">
        <f>SUM(AH54:AH55)</f>
        <v>2.9697916666666668E-2</v>
      </c>
      <c r="AI53" s="397"/>
      <c r="AK53" s="611"/>
      <c r="AL53" s="740"/>
      <c r="AM53" s="745"/>
    </row>
    <row r="54" spans="1:40" ht="65.25" customHeight="1">
      <c r="A54" s="496"/>
      <c r="B54" s="497" t="s">
        <v>495</v>
      </c>
      <c r="C54" s="497" t="s">
        <v>687</v>
      </c>
      <c r="D54" s="497"/>
      <c r="E54" s="529" t="s">
        <v>626</v>
      </c>
      <c r="F54" s="1079"/>
      <c r="G54" s="1079"/>
      <c r="H54" s="667"/>
      <c r="I54" s="504"/>
      <c r="J54" s="499"/>
      <c r="K54" s="504"/>
      <c r="L54" s="390" t="s">
        <v>366</v>
      </c>
      <c r="M54" s="390" t="s">
        <v>229</v>
      </c>
      <c r="N54" s="416" t="s">
        <v>463</v>
      </c>
      <c r="O54" s="505">
        <v>0</v>
      </c>
      <c r="P54" s="501">
        <v>4</v>
      </c>
      <c r="Q54" s="597">
        <f>'3. DMF Progress'!D23</f>
        <v>2</v>
      </c>
      <c r="R54" s="505">
        <v>0</v>
      </c>
      <c r="S54" s="505">
        <v>3</v>
      </c>
      <c r="T54" s="505"/>
      <c r="U54" s="505">
        <v>1</v>
      </c>
      <c r="V54" s="505"/>
      <c r="W54" s="505"/>
      <c r="X54" s="502"/>
      <c r="Y54" s="603"/>
      <c r="Z54" s="597">
        <f>'3. DMF Progress'!E23</f>
        <v>26.3</v>
      </c>
      <c r="AA54" s="602">
        <f>'3. DMF Progress'!F23</f>
        <v>0.52600000000000002</v>
      </c>
      <c r="AB54" s="654">
        <f>$Q$54/4</f>
        <v>0.5</v>
      </c>
      <c r="AC54" s="741">
        <f>'3. DMF Progress'!$P$23/100</f>
        <v>0.45175000000000004</v>
      </c>
      <c r="AD54" s="1065">
        <f>'3. DMF Progress'!$AJ$23/100</f>
        <v>1.1265000000000001E-2</v>
      </c>
      <c r="AE54" s="397"/>
      <c r="AF54" s="654">
        <f>$Q$54/4</f>
        <v>0.5</v>
      </c>
      <c r="AG54" s="741">
        <f>'3. DMF Progress'!$AA$23/100</f>
        <v>0.57201666666666673</v>
      </c>
      <c r="AH54" s="1065">
        <f>'3. DMF Progress'!$AU$23/100</f>
        <v>1.3670333333333333E-2</v>
      </c>
      <c r="AI54" s="397"/>
      <c r="AK54" s="611">
        <f t="shared" ref="AK54:AM55" si="25">Y54+AB54+AF54</f>
        <v>1</v>
      </c>
      <c r="AL54" s="740">
        <f t="shared" si="25"/>
        <v>27.323766666666668</v>
      </c>
      <c r="AM54" s="745">
        <f t="shared" si="25"/>
        <v>0.55093533333333333</v>
      </c>
      <c r="AN54" s="1069"/>
    </row>
    <row r="55" spans="1:40" ht="64.5" customHeight="1">
      <c r="A55" s="496"/>
      <c r="B55" s="497" t="s">
        <v>496</v>
      </c>
      <c r="C55" s="497" t="s">
        <v>688</v>
      </c>
      <c r="D55" s="497"/>
      <c r="E55" s="529" t="s">
        <v>627</v>
      </c>
      <c r="F55" s="1079"/>
      <c r="G55" s="1079"/>
      <c r="H55" s="667"/>
      <c r="I55" s="504"/>
      <c r="J55" s="499"/>
      <c r="K55" s="504"/>
      <c r="L55" s="390" t="s">
        <v>366</v>
      </c>
      <c r="M55" s="390" t="s">
        <v>229</v>
      </c>
      <c r="N55" s="416" t="s">
        <v>464</v>
      </c>
      <c r="O55" s="505">
        <v>0</v>
      </c>
      <c r="P55" s="501">
        <v>4</v>
      </c>
      <c r="Q55" s="597">
        <f>'3. DMF Progress'!D24</f>
        <v>2</v>
      </c>
      <c r="R55" s="505">
        <v>0</v>
      </c>
      <c r="S55" s="505">
        <v>3</v>
      </c>
      <c r="T55" s="505"/>
      <c r="U55" s="505">
        <v>1</v>
      </c>
      <c r="V55" s="505"/>
      <c r="W55" s="505"/>
      <c r="X55" s="502"/>
      <c r="Y55" s="603"/>
      <c r="Z55" s="597">
        <f>'3. DMF Progress'!E24</f>
        <v>30.3</v>
      </c>
      <c r="AA55" s="602">
        <f>'3. DMF Progress'!F24</f>
        <v>0.60599999999999998</v>
      </c>
      <c r="AB55" s="654">
        <f>$Q$55/4</f>
        <v>0.5</v>
      </c>
      <c r="AC55" s="741">
        <f>'3. DMF Progress'!$P$24/100</f>
        <v>0.51824999999999999</v>
      </c>
      <c r="AD55" s="1065">
        <f>'3. DMF Progress'!$AJ$24/100</f>
        <v>1.2095E-2</v>
      </c>
      <c r="AE55" s="397"/>
      <c r="AF55" s="654">
        <f>$Q$55/4</f>
        <v>0.5</v>
      </c>
      <c r="AG55" s="741">
        <f>'3. DMF Progress'!$AA$24/100</f>
        <v>0.71487916666666673</v>
      </c>
      <c r="AH55" s="1065">
        <f>'3. DMF Progress'!$AU$24/100</f>
        <v>1.6027583333333335E-2</v>
      </c>
      <c r="AI55" s="397"/>
      <c r="AK55" s="611">
        <f t="shared" si="25"/>
        <v>1</v>
      </c>
      <c r="AL55" s="740">
        <f t="shared" si="25"/>
        <v>31.533129166666665</v>
      </c>
      <c r="AM55" s="745">
        <f t="shared" si="25"/>
        <v>0.63412258333333327</v>
      </c>
      <c r="AN55" s="1069"/>
    </row>
    <row r="56" spans="1:40" s="572" customFormat="1" ht="35.1" customHeight="1">
      <c r="A56" s="559"/>
      <c r="B56" s="560" t="s">
        <v>389</v>
      </c>
      <c r="C56" s="560"/>
      <c r="D56" s="560"/>
      <c r="E56" s="561" t="s">
        <v>402</v>
      </c>
      <c r="F56" s="1081">
        <f>SUM(F57:F75)</f>
        <v>20000</v>
      </c>
      <c r="G56" s="1081">
        <f>SUM(G57:G75)</f>
        <v>20080</v>
      </c>
      <c r="H56" s="562"/>
      <c r="I56" s="563"/>
      <c r="J56" s="564"/>
      <c r="K56" s="563"/>
      <c r="L56" s="565"/>
      <c r="M56" s="565"/>
      <c r="N56" s="566"/>
      <c r="O56" s="567"/>
      <c r="P56" s="568"/>
      <c r="Q56" s="568">
        <f>'3. DMF Progress'!D37</f>
        <v>15</v>
      </c>
      <c r="R56" s="567"/>
      <c r="S56" s="567"/>
      <c r="T56" s="567"/>
      <c r="U56" s="567"/>
      <c r="V56" s="567"/>
      <c r="W56" s="567"/>
      <c r="X56" s="569"/>
      <c r="Y56" s="662"/>
      <c r="Z56" s="614"/>
      <c r="AA56" s="684">
        <f>'3. DMF Progress'!F34</f>
        <v>1.3950000000000002</v>
      </c>
      <c r="AB56" s="1073">
        <f>$Q$56/2</f>
        <v>7.5</v>
      </c>
      <c r="AC56" s="684">
        <f>'3. DMF Progress'!$P$34/100</f>
        <v>0.93075000000000008</v>
      </c>
      <c r="AD56" s="1066">
        <f>'3. DMF Progress'!$AJ$34/100</f>
        <v>1.9715000000000003E-2</v>
      </c>
      <c r="AE56" s="562"/>
      <c r="AF56" s="1070">
        <f>$Q$56/2</f>
        <v>7.5</v>
      </c>
      <c r="AG56" s="684">
        <f>'3. DMF Progress'!$AA$34/100</f>
        <v>2.1220500000000002</v>
      </c>
      <c r="AH56" s="1066">
        <f>'3. DMF Progress'!$AU$34/100</f>
        <v>4.5006750000000005E-2</v>
      </c>
      <c r="AI56" s="562"/>
      <c r="AK56" s="611"/>
      <c r="AL56" s="740">
        <f>Z56+AC56+AG56</f>
        <v>3.0528000000000004</v>
      </c>
      <c r="AM56" s="745">
        <f>AA56+AD56+AH56</f>
        <v>1.4597217500000002</v>
      </c>
      <c r="AN56" s="1069"/>
    </row>
    <row r="57" spans="1:40" ht="77.45" customHeight="1">
      <c r="A57" s="496">
        <v>14</v>
      </c>
      <c r="B57" s="497" t="s">
        <v>582</v>
      </c>
      <c r="C57" s="497" t="s">
        <v>444</v>
      </c>
      <c r="D57" s="497"/>
      <c r="E57" s="528" t="s">
        <v>421</v>
      </c>
      <c r="F57" s="1078"/>
      <c r="G57" s="1078"/>
      <c r="H57" s="668" t="s">
        <v>679</v>
      </c>
      <c r="I57" s="504" t="s">
        <v>526</v>
      </c>
      <c r="J57" s="499" t="s">
        <v>660</v>
      </c>
      <c r="K57" s="504"/>
      <c r="L57" s="390" t="s">
        <v>366</v>
      </c>
      <c r="M57" s="390" t="s">
        <v>229</v>
      </c>
      <c r="N57" s="416" t="s">
        <v>469</v>
      </c>
      <c r="O57" s="505"/>
      <c r="P57" s="501">
        <f>SUM(P58:P63)</f>
        <v>6</v>
      </c>
      <c r="Q57" s="597">
        <f>'3. DMF Progress'!D27</f>
        <v>2</v>
      </c>
      <c r="R57" s="640">
        <v>0</v>
      </c>
      <c r="S57" s="640">
        <v>0</v>
      </c>
      <c r="T57" s="656">
        <f>SUM(T58:T63)</f>
        <v>1.9000000000000001</v>
      </c>
      <c r="U57" s="656">
        <f t="shared" ref="U57:W57" si="26">SUM(U58:U63)</f>
        <v>1.9000000000000001</v>
      </c>
      <c r="V57" s="656">
        <f t="shared" si="26"/>
        <v>1.6</v>
      </c>
      <c r="W57" s="656">
        <f t="shared" si="26"/>
        <v>0.5</v>
      </c>
      <c r="X57" s="502"/>
      <c r="Y57" s="603"/>
      <c r="Z57" s="597">
        <f>'3. DMF Progress'!E27</f>
        <v>19</v>
      </c>
      <c r="AA57" s="602">
        <f>'3. DMF Progress'!F27</f>
        <v>0.38</v>
      </c>
      <c r="AB57" s="654">
        <f>$Q$57/4</f>
        <v>0.5</v>
      </c>
      <c r="AC57" s="741">
        <f>'3. DMF Progress'!$P$27/100</f>
        <v>0.37325000000000003</v>
      </c>
      <c r="AD57" s="1065">
        <f>'3. DMF Progress'!$AJ$27/100</f>
        <v>7.4649999999999994E-3</v>
      </c>
      <c r="AE57" s="397"/>
      <c r="AF57" s="654">
        <f>$Q$57/4</f>
        <v>0.5</v>
      </c>
      <c r="AG57" s="741">
        <f>'3. DMF Progress'!$AA$27/100</f>
        <v>0.72250000000000003</v>
      </c>
      <c r="AH57" s="1065">
        <f>'3. DMF Progress'!$AU$27/100</f>
        <v>1.4450000000000001E-2</v>
      </c>
      <c r="AI57" s="397"/>
      <c r="AK57" s="611">
        <f>Y57+AB57+AF57</f>
        <v>1</v>
      </c>
      <c r="AL57" s="740">
        <f>Z57+AC57+AG57</f>
        <v>20.095749999999999</v>
      </c>
      <c r="AM57" s="745">
        <f>AA57+AD57+AH57</f>
        <v>0.40191500000000002</v>
      </c>
      <c r="AN57" s="1069"/>
    </row>
    <row r="58" spans="1:40" ht="35.1" customHeight="1">
      <c r="A58" s="496"/>
      <c r="B58" s="497" t="s">
        <v>497</v>
      </c>
      <c r="C58" s="497"/>
      <c r="D58" s="497"/>
      <c r="E58" s="529" t="s">
        <v>668</v>
      </c>
      <c r="F58" s="1079"/>
      <c r="G58" s="1079"/>
      <c r="H58" s="667"/>
      <c r="I58" s="504"/>
      <c r="J58" s="499"/>
      <c r="K58" s="504"/>
      <c r="L58" s="390" t="s">
        <v>366</v>
      </c>
      <c r="M58" s="390" t="s">
        <v>229</v>
      </c>
      <c r="N58" s="416" t="s">
        <v>469</v>
      </c>
      <c r="O58" s="505">
        <v>0</v>
      </c>
      <c r="P58" s="501">
        <v>1</v>
      </c>
      <c r="Q58" s="501"/>
      <c r="R58" s="505">
        <v>0</v>
      </c>
      <c r="S58" s="505"/>
      <c r="T58" s="631">
        <v>0.4</v>
      </c>
      <c r="U58" s="631">
        <v>0.4</v>
      </c>
      <c r="V58" s="631">
        <v>0.1</v>
      </c>
      <c r="W58" s="505"/>
      <c r="X58" s="502"/>
      <c r="Y58" s="603"/>
      <c r="Z58" s="597"/>
      <c r="AA58" s="602"/>
      <c r="AB58" s="654"/>
      <c r="AC58" s="617"/>
      <c r="AD58" s="407"/>
      <c r="AE58" s="397"/>
      <c r="AF58" s="654"/>
      <c r="AG58" s="617"/>
      <c r="AH58" s="407"/>
      <c r="AI58" s="397"/>
      <c r="AK58" s="611"/>
      <c r="AL58" s="740"/>
      <c r="AM58" s="745"/>
    </row>
    <row r="59" spans="1:40" s="650" customFormat="1" ht="35.1" customHeight="1">
      <c r="A59" s="634"/>
      <c r="B59" s="635" t="s">
        <v>498</v>
      </c>
      <c r="C59" s="635"/>
      <c r="D59" s="635"/>
      <c r="E59" s="529" t="s">
        <v>669</v>
      </c>
      <c r="F59" s="1079"/>
      <c r="G59" s="1079"/>
      <c r="H59" s="669"/>
      <c r="I59" s="636"/>
      <c r="J59" s="637"/>
      <c r="K59" s="636"/>
      <c r="L59" s="638" t="s">
        <v>366</v>
      </c>
      <c r="M59" s="638" t="s">
        <v>229</v>
      </c>
      <c r="N59" s="639" t="s">
        <v>469</v>
      </c>
      <c r="O59" s="640">
        <v>0</v>
      </c>
      <c r="P59" s="641">
        <v>1</v>
      </c>
      <c r="Q59" s="641"/>
      <c r="R59" s="640">
        <v>0</v>
      </c>
      <c r="S59" s="640"/>
      <c r="T59" s="631">
        <v>0.3</v>
      </c>
      <c r="U59" s="631">
        <v>0.3</v>
      </c>
      <c r="V59" s="631">
        <v>0.3</v>
      </c>
      <c r="W59" s="631">
        <v>0.1</v>
      </c>
      <c r="X59" s="642"/>
      <c r="Y59" s="643"/>
      <c r="Z59" s="644"/>
      <c r="AA59" s="645"/>
      <c r="AB59" s="654"/>
      <c r="AC59" s="646"/>
      <c r="AD59" s="647"/>
      <c r="AE59" s="648"/>
      <c r="AF59" s="654"/>
      <c r="AG59" s="646"/>
      <c r="AH59" s="647"/>
      <c r="AI59" s="648"/>
      <c r="AK59" s="651"/>
      <c r="AL59" s="740"/>
      <c r="AM59" s="745"/>
    </row>
    <row r="60" spans="1:40" ht="35.1" customHeight="1">
      <c r="A60" s="496"/>
      <c r="B60" s="497" t="s">
        <v>499</v>
      </c>
      <c r="C60" s="497"/>
      <c r="D60" s="497"/>
      <c r="E60" s="730" t="s">
        <v>465</v>
      </c>
      <c r="F60" s="1085"/>
      <c r="G60" s="1085"/>
      <c r="H60" s="667"/>
      <c r="I60" s="504"/>
      <c r="J60" s="499"/>
      <c r="K60" s="504"/>
      <c r="L60" s="390" t="s">
        <v>366</v>
      </c>
      <c r="M60" s="390" t="s">
        <v>229</v>
      </c>
      <c r="N60" s="416" t="s">
        <v>469</v>
      </c>
      <c r="O60" s="505">
        <v>0</v>
      </c>
      <c r="P60" s="501">
        <v>1</v>
      </c>
      <c r="Q60" s="501"/>
      <c r="R60" s="505">
        <v>0</v>
      </c>
      <c r="S60" s="505"/>
      <c r="T60" s="631">
        <v>0.3</v>
      </c>
      <c r="U60" s="631">
        <v>0.3</v>
      </c>
      <c r="V60" s="631">
        <v>0.3</v>
      </c>
      <c r="W60" s="631">
        <v>0.1</v>
      </c>
      <c r="X60" s="502"/>
      <c r="Y60" s="603"/>
      <c r="Z60" s="597"/>
      <c r="AA60" s="602"/>
      <c r="AB60" s="654"/>
      <c r="AC60" s="617"/>
      <c r="AD60" s="407"/>
      <c r="AE60" s="397"/>
      <c r="AF60" s="654"/>
      <c r="AG60" s="617"/>
      <c r="AH60" s="407"/>
      <c r="AI60" s="397"/>
      <c r="AK60" s="611"/>
      <c r="AL60" s="740"/>
      <c r="AM60" s="745"/>
    </row>
    <row r="61" spans="1:40" ht="35.1" customHeight="1">
      <c r="A61" s="496"/>
      <c r="B61" s="497" t="s">
        <v>500</v>
      </c>
      <c r="C61" s="497"/>
      <c r="D61" s="497"/>
      <c r="E61" s="730" t="s">
        <v>466</v>
      </c>
      <c r="F61" s="1085"/>
      <c r="G61" s="1085"/>
      <c r="H61" s="667"/>
      <c r="I61" s="504"/>
      <c r="J61" s="499"/>
      <c r="K61" s="504"/>
      <c r="L61" s="390" t="s">
        <v>366</v>
      </c>
      <c r="M61" s="390" t="s">
        <v>229</v>
      </c>
      <c r="N61" s="416" t="s">
        <v>469</v>
      </c>
      <c r="O61" s="505">
        <v>0</v>
      </c>
      <c r="P61" s="501">
        <v>1</v>
      </c>
      <c r="Q61" s="501"/>
      <c r="R61" s="505">
        <v>0</v>
      </c>
      <c r="S61" s="505"/>
      <c r="T61" s="631">
        <v>0.3</v>
      </c>
      <c r="U61" s="631">
        <v>0.3</v>
      </c>
      <c r="V61" s="631">
        <v>0.3</v>
      </c>
      <c r="W61" s="631">
        <v>0.1</v>
      </c>
      <c r="X61" s="502"/>
      <c r="Y61" s="603"/>
      <c r="Z61" s="597"/>
      <c r="AA61" s="602"/>
      <c r="AB61" s="654"/>
      <c r="AC61" s="617"/>
      <c r="AD61" s="407"/>
      <c r="AE61" s="397"/>
      <c r="AF61" s="654"/>
      <c r="AG61" s="617"/>
      <c r="AH61" s="407"/>
      <c r="AI61" s="397"/>
      <c r="AK61" s="611"/>
      <c r="AL61" s="740"/>
      <c r="AM61" s="745"/>
    </row>
    <row r="62" spans="1:40" ht="35.1" customHeight="1">
      <c r="A62" s="496"/>
      <c r="B62" s="497" t="s">
        <v>501</v>
      </c>
      <c r="C62" s="497"/>
      <c r="D62" s="497"/>
      <c r="E62" s="529" t="s">
        <v>467</v>
      </c>
      <c r="F62" s="1079"/>
      <c r="G62" s="1079"/>
      <c r="H62" s="667"/>
      <c r="I62" s="504"/>
      <c r="J62" s="499"/>
      <c r="K62" s="504"/>
      <c r="L62" s="390" t="s">
        <v>366</v>
      </c>
      <c r="M62" s="390" t="s">
        <v>229</v>
      </c>
      <c r="N62" s="416" t="s">
        <v>469</v>
      </c>
      <c r="O62" s="505">
        <v>0</v>
      </c>
      <c r="P62" s="501">
        <v>1</v>
      </c>
      <c r="Q62" s="501"/>
      <c r="R62" s="505">
        <v>0</v>
      </c>
      <c r="S62" s="505"/>
      <c r="T62" s="631">
        <v>0.3</v>
      </c>
      <c r="U62" s="631">
        <v>0.3</v>
      </c>
      <c r="V62" s="631">
        <v>0.3</v>
      </c>
      <c r="W62" s="631">
        <v>0.1</v>
      </c>
      <c r="X62" s="502"/>
      <c r="Y62" s="603"/>
      <c r="Z62" s="597"/>
      <c r="AA62" s="602"/>
      <c r="AB62" s="654"/>
      <c r="AC62" s="617"/>
      <c r="AD62" s="407"/>
      <c r="AE62" s="397"/>
      <c r="AF62" s="654"/>
      <c r="AG62" s="617"/>
      <c r="AH62" s="407"/>
      <c r="AI62" s="397"/>
      <c r="AK62" s="611"/>
      <c r="AL62" s="740"/>
      <c r="AM62" s="745"/>
    </row>
    <row r="63" spans="1:40" ht="35.1" customHeight="1">
      <c r="A63" s="496"/>
      <c r="B63" s="497" t="s">
        <v>502</v>
      </c>
      <c r="C63" s="497"/>
      <c r="D63" s="497"/>
      <c r="E63" s="529" t="s">
        <v>468</v>
      </c>
      <c r="F63" s="1079"/>
      <c r="G63" s="1079"/>
      <c r="H63" s="667"/>
      <c r="I63" s="504"/>
      <c r="J63" s="499"/>
      <c r="K63" s="504"/>
      <c r="L63" s="390" t="s">
        <v>366</v>
      </c>
      <c r="M63" s="390" t="s">
        <v>229</v>
      </c>
      <c r="N63" s="416" t="s">
        <v>469</v>
      </c>
      <c r="O63" s="505">
        <v>0</v>
      </c>
      <c r="P63" s="501">
        <v>1</v>
      </c>
      <c r="Q63" s="501"/>
      <c r="R63" s="505">
        <v>0</v>
      </c>
      <c r="S63" s="505"/>
      <c r="T63" s="631">
        <v>0.3</v>
      </c>
      <c r="U63" s="631">
        <v>0.3</v>
      </c>
      <c r="V63" s="631">
        <v>0.3</v>
      </c>
      <c r="W63" s="631">
        <v>0.1</v>
      </c>
      <c r="X63" s="502"/>
      <c r="Y63" s="603"/>
      <c r="Z63" s="597"/>
      <c r="AA63" s="602"/>
      <c r="AB63" s="654"/>
      <c r="AC63" s="617"/>
      <c r="AD63" s="407"/>
      <c r="AE63" s="397"/>
      <c r="AF63" s="654"/>
      <c r="AG63" s="617"/>
      <c r="AH63" s="407"/>
      <c r="AI63" s="397"/>
      <c r="AK63" s="611"/>
      <c r="AL63" s="740"/>
      <c r="AM63" s="745"/>
    </row>
    <row r="64" spans="1:40" ht="77.45" customHeight="1">
      <c r="A64" s="496">
        <v>15</v>
      </c>
      <c r="B64" s="497" t="s">
        <v>450</v>
      </c>
      <c r="C64" s="497" t="s">
        <v>445</v>
      </c>
      <c r="D64" s="497"/>
      <c r="E64" s="528" t="s">
        <v>406</v>
      </c>
      <c r="F64" s="1078"/>
      <c r="G64" s="1078"/>
      <c r="H64" s="668" t="s">
        <v>679</v>
      </c>
      <c r="I64" s="504" t="s">
        <v>527</v>
      </c>
      <c r="J64" s="499" t="s">
        <v>660</v>
      </c>
      <c r="K64" s="504"/>
      <c r="L64" s="390" t="s">
        <v>366</v>
      </c>
      <c r="M64" s="390" t="s">
        <v>229</v>
      </c>
      <c r="N64" s="416" t="s">
        <v>472</v>
      </c>
      <c r="O64" s="505">
        <v>0</v>
      </c>
      <c r="P64" s="501">
        <f>SUM(P65:P66)</f>
        <v>2</v>
      </c>
      <c r="Q64" s="597">
        <f>'3. DMF Progress'!D28</f>
        <v>2</v>
      </c>
      <c r="R64" s="505">
        <v>0</v>
      </c>
      <c r="S64" s="505">
        <v>0</v>
      </c>
      <c r="T64" s="631">
        <f>SUM(T65:T66)</f>
        <v>0.6</v>
      </c>
      <c r="U64" s="631">
        <f t="shared" ref="U64:W64" si="27">SUM(U65:U66)</f>
        <v>0.6</v>
      </c>
      <c r="V64" s="631">
        <f t="shared" si="27"/>
        <v>0.6</v>
      </c>
      <c r="W64" s="631">
        <f t="shared" si="27"/>
        <v>0.2</v>
      </c>
      <c r="X64" s="502"/>
      <c r="Y64" s="603"/>
      <c r="Z64" s="597">
        <f>'3. DMF Progress'!E28</f>
        <v>14.5</v>
      </c>
      <c r="AA64" s="602">
        <f>'3. DMF Progress'!F28</f>
        <v>0.28999999999999998</v>
      </c>
      <c r="AB64" s="654">
        <f>$Q$64/4</f>
        <v>0.5</v>
      </c>
      <c r="AC64" s="741">
        <f>'3. DMF Progress'!$P$28/100</f>
        <v>9.5000000000000001E-2</v>
      </c>
      <c r="AD64" s="1065">
        <f>'3. DMF Progress'!$AJ$28/100</f>
        <v>1.9E-3</v>
      </c>
      <c r="AE64" s="397"/>
      <c r="AF64" s="654">
        <f>$Q$64/4</f>
        <v>0.5</v>
      </c>
      <c r="AG64" s="741">
        <f>'3. DMF Progress'!$AA$28/100</f>
        <v>0.21742500000000001</v>
      </c>
      <c r="AH64" s="1065">
        <f>'3. DMF Progress'!$AU$28/100</f>
        <v>4.3484999999999999E-3</v>
      </c>
      <c r="AI64" s="397"/>
      <c r="AK64" s="611">
        <f>Y64+AB64+AF64</f>
        <v>1</v>
      </c>
      <c r="AL64" s="740">
        <f>Z64+AC64+AG64</f>
        <v>14.812425000000001</v>
      </c>
      <c r="AM64" s="745">
        <f>AA64+AD64+AH64</f>
        <v>0.29624849999999997</v>
      </c>
      <c r="AN64" s="1069"/>
    </row>
    <row r="65" spans="1:40" ht="35.1" customHeight="1">
      <c r="A65" s="496"/>
      <c r="B65" s="497" t="s">
        <v>477</v>
      </c>
      <c r="C65" s="497"/>
      <c r="D65" s="497"/>
      <c r="E65" s="529" t="s">
        <v>470</v>
      </c>
      <c r="F65" s="1079"/>
      <c r="G65" s="1079"/>
      <c r="H65" s="667"/>
      <c r="I65" s="504"/>
      <c r="J65" s="499"/>
      <c r="K65" s="504"/>
      <c r="L65" s="390" t="s">
        <v>366</v>
      </c>
      <c r="M65" s="390" t="s">
        <v>229</v>
      </c>
      <c r="N65" s="416" t="s">
        <v>472</v>
      </c>
      <c r="O65" s="505">
        <v>0</v>
      </c>
      <c r="P65" s="501">
        <v>1</v>
      </c>
      <c r="Q65" s="501"/>
      <c r="R65" s="505">
        <v>0</v>
      </c>
      <c r="S65" s="505">
        <v>0</v>
      </c>
      <c r="T65" s="631">
        <v>0.3</v>
      </c>
      <c r="U65" s="631">
        <v>0.3</v>
      </c>
      <c r="V65" s="631">
        <v>0.3</v>
      </c>
      <c r="W65" s="631">
        <v>0.1</v>
      </c>
      <c r="X65" s="502"/>
      <c r="Y65" s="603"/>
      <c r="Z65" s="597"/>
      <c r="AA65" s="602"/>
      <c r="AB65" s="654"/>
      <c r="AC65" s="617"/>
      <c r="AD65" s="407"/>
      <c r="AE65" s="397"/>
      <c r="AF65" s="654"/>
      <c r="AG65" s="617"/>
      <c r="AH65" s="407"/>
      <c r="AI65" s="397"/>
      <c r="AK65" s="611"/>
      <c r="AL65" s="740"/>
      <c r="AM65" s="745"/>
    </row>
    <row r="66" spans="1:40" ht="51" customHeight="1">
      <c r="A66" s="496"/>
      <c r="B66" s="497" t="s">
        <v>478</v>
      </c>
      <c r="C66" s="497"/>
      <c r="D66" s="497"/>
      <c r="E66" s="529" t="s">
        <v>471</v>
      </c>
      <c r="F66" s="1079"/>
      <c r="G66" s="1079"/>
      <c r="H66" s="667"/>
      <c r="I66" s="504"/>
      <c r="J66" s="499"/>
      <c r="K66" s="504"/>
      <c r="L66" s="390" t="s">
        <v>366</v>
      </c>
      <c r="M66" s="390" t="s">
        <v>229</v>
      </c>
      <c r="N66" s="416" t="s">
        <v>472</v>
      </c>
      <c r="O66" s="505">
        <v>0</v>
      </c>
      <c r="P66" s="501">
        <v>1</v>
      </c>
      <c r="Q66" s="501"/>
      <c r="R66" s="505">
        <v>0</v>
      </c>
      <c r="S66" s="505">
        <v>0</v>
      </c>
      <c r="T66" s="631">
        <v>0.3</v>
      </c>
      <c r="U66" s="631">
        <v>0.3</v>
      </c>
      <c r="V66" s="631">
        <v>0.3</v>
      </c>
      <c r="W66" s="631">
        <v>0.1</v>
      </c>
      <c r="X66" s="502"/>
      <c r="Y66" s="603"/>
      <c r="Z66" s="597"/>
      <c r="AA66" s="602"/>
      <c r="AB66" s="654"/>
      <c r="AC66" s="617"/>
      <c r="AD66" s="407"/>
      <c r="AE66" s="397"/>
      <c r="AF66" s="654"/>
      <c r="AG66" s="617"/>
      <c r="AH66" s="407"/>
      <c r="AI66" s="397"/>
      <c r="AK66" s="611"/>
      <c r="AL66" s="740"/>
      <c r="AM66" s="745"/>
    </row>
    <row r="67" spans="1:40" ht="77.45" customHeight="1">
      <c r="A67" s="496">
        <v>16</v>
      </c>
      <c r="B67" s="497" t="s">
        <v>451</v>
      </c>
      <c r="C67" s="497" t="s">
        <v>446</v>
      </c>
      <c r="D67" s="497"/>
      <c r="E67" s="528" t="s">
        <v>407</v>
      </c>
      <c r="F67" s="1078"/>
      <c r="G67" s="1078">
        <v>50</v>
      </c>
      <c r="H67" s="668" t="s">
        <v>679</v>
      </c>
      <c r="I67" s="504" t="s">
        <v>528</v>
      </c>
      <c r="J67" s="499" t="s">
        <v>660</v>
      </c>
      <c r="K67" s="504"/>
      <c r="L67" s="390" t="s">
        <v>366</v>
      </c>
      <c r="M67" s="390" t="s">
        <v>229</v>
      </c>
      <c r="N67" s="416" t="s">
        <v>134</v>
      </c>
      <c r="O67" s="505">
        <v>0</v>
      </c>
      <c r="P67" s="641">
        <v>50</v>
      </c>
      <c r="Q67" s="597">
        <f>'3. DMF Progress'!D29</f>
        <v>2</v>
      </c>
      <c r="R67" s="640">
        <v>0</v>
      </c>
      <c r="S67" s="640">
        <v>0</v>
      </c>
      <c r="T67" s="640">
        <v>15</v>
      </c>
      <c r="U67" s="640">
        <v>20</v>
      </c>
      <c r="V67" s="640">
        <v>15</v>
      </c>
      <c r="W67" s="640">
        <v>0</v>
      </c>
      <c r="X67" s="502"/>
      <c r="Y67" s="603"/>
      <c r="Z67" s="597">
        <f>'3. DMF Progress'!E29</f>
        <v>11.5</v>
      </c>
      <c r="AA67" s="602">
        <f>'3. DMF Progress'!F29</f>
        <v>0.23</v>
      </c>
      <c r="AB67" s="654">
        <f>$Q$70/4</f>
        <v>0.5</v>
      </c>
      <c r="AC67" s="741">
        <f>'3. DMF Progress'!$P$29/100</f>
        <v>0.3</v>
      </c>
      <c r="AD67" s="1065">
        <f>'3. DMF Progress'!$AJ$29/100</f>
        <v>6.0000000000000001E-3</v>
      </c>
      <c r="AE67" s="397"/>
      <c r="AF67" s="654">
        <f>$Q$70/4</f>
        <v>0.5</v>
      </c>
      <c r="AG67" s="741">
        <f>'3. DMF Progress'!$AA$29/100</f>
        <v>0.51230000000000009</v>
      </c>
      <c r="AH67" s="1065">
        <f>'3. DMF Progress'!$AU$29/100</f>
        <v>1.0246E-2</v>
      </c>
      <c r="AI67" s="397"/>
      <c r="AK67" s="611">
        <f>Y67+AB67+AF67</f>
        <v>1</v>
      </c>
      <c r="AL67" s="740">
        <f>Z67+AC67+AG67</f>
        <v>12.3123</v>
      </c>
      <c r="AM67" s="745">
        <f>AA67+AD67+AH67</f>
        <v>0.24624600000000002</v>
      </c>
      <c r="AN67" s="1069"/>
    </row>
    <row r="68" spans="1:40" ht="43.5" customHeight="1">
      <c r="A68" s="496"/>
      <c r="B68" s="497" t="s">
        <v>475</v>
      </c>
      <c r="C68" s="497"/>
      <c r="D68" s="497"/>
      <c r="E68" s="529" t="s">
        <v>622</v>
      </c>
      <c r="F68" s="1079"/>
      <c r="G68" s="1079"/>
      <c r="H68" s="667"/>
      <c r="I68" s="504"/>
      <c r="J68" s="499"/>
      <c r="K68" s="504"/>
      <c r="L68" s="390" t="s">
        <v>366</v>
      </c>
      <c r="M68" s="390" t="s">
        <v>229</v>
      </c>
      <c r="N68" s="416" t="s">
        <v>134</v>
      </c>
      <c r="O68" s="505">
        <v>0</v>
      </c>
      <c r="P68" s="501">
        <f>P67/2</f>
        <v>25</v>
      </c>
      <c r="Q68" s="501"/>
      <c r="R68" s="505">
        <v>0</v>
      </c>
      <c r="S68" s="505">
        <f>S67/2</f>
        <v>0</v>
      </c>
      <c r="T68" s="505">
        <f t="shared" ref="T68:W68" si="28">T67/2</f>
        <v>7.5</v>
      </c>
      <c r="U68" s="505">
        <f t="shared" si="28"/>
        <v>10</v>
      </c>
      <c r="V68" s="505">
        <f t="shared" si="28"/>
        <v>7.5</v>
      </c>
      <c r="W68" s="505">
        <f t="shared" si="28"/>
        <v>0</v>
      </c>
      <c r="X68" s="502"/>
      <c r="Y68" s="603"/>
      <c r="Z68" s="597"/>
      <c r="AA68" s="602"/>
      <c r="AB68" s="654"/>
      <c r="AC68" s="617"/>
      <c r="AD68" s="407"/>
      <c r="AE68" s="397"/>
      <c r="AF68" s="654"/>
      <c r="AG68" s="617"/>
      <c r="AH68" s="407"/>
      <c r="AI68" s="397"/>
      <c r="AK68" s="611"/>
      <c r="AL68" s="740"/>
      <c r="AM68" s="745"/>
    </row>
    <row r="69" spans="1:40" ht="48.75" customHeight="1">
      <c r="A69" s="496"/>
      <c r="B69" s="497" t="s">
        <v>476</v>
      </c>
      <c r="C69" s="497"/>
      <c r="D69" s="497"/>
      <c r="E69" s="529" t="s">
        <v>623</v>
      </c>
      <c r="F69" s="1079"/>
      <c r="G69" s="1079"/>
      <c r="H69" s="667"/>
      <c r="I69" s="504"/>
      <c r="J69" s="499"/>
      <c r="K69" s="504"/>
      <c r="L69" s="390" t="s">
        <v>366</v>
      </c>
      <c r="M69" s="390" t="s">
        <v>229</v>
      </c>
      <c r="N69" s="416" t="s">
        <v>134</v>
      </c>
      <c r="O69" s="505">
        <v>0</v>
      </c>
      <c r="P69" s="501">
        <f>P67/2</f>
        <v>25</v>
      </c>
      <c r="Q69" s="501"/>
      <c r="R69" s="505">
        <v>0</v>
      </c>
      <c r="S69" s="505">
        <f>S67/2</f>
        <v>0</v>
      </c>
      <c r="T69" s="505">
        <f t="shared" ref="T69:W69" si="29">T67/2</f>
        <v>7.5</v>
      </c>
      <c r="U69" s="505">
        <f t="shared" si="29"/>
        <v>10</v>
      </c>
      <c r="V69" s="505">
        <f t="shared" si="29"/>
        <v>7.5</v>
      </c>
      <c r="W69" s="505">
        <f t="shared" si="29"/>
        <v>0</v>
      </c>
      <c r="X69" s="502"/>
      <c r="Y69" s="603"/>
      <c r="Z69" s="597"/>
      <c r="AA69" s="602"/>
      <c r="AB69" s="654"/>
      <c r="AC69" s="617"/>
      <c r="AD69" s="407"/>
      <c r="AE69" s="397"/>
      <c r="AF69" s="654"/>
      <c r="AG69" s="617"/>
      <c r="AH69" s="407"/>
      <c r="AI69" s="397"/>
      <c r="AK69" s="611"/>
      <c r="AL69" s="740"/>
      <c r="AM69" s="745"/>
    </row>
    <row r="70" spans="1:40" ht="77.45" customHeight="1">
      <c r="A70" s="496">
        <v>17</v>
      </c>
      <c r="B70" s="497" t="s">
        <v>452</v>
      </c>
      <c r="C70" s="497" t="s">
        <v>447</v>
      </c>
      <c r="D70" s="497"/>
      <c r="E70" s="528" t="s">
        <v>408</v>
      </c>
      <c r="F70" s="1078"/>
      <c r="G70" s="1078">
        <v>30</v>
      </c>
      <c r="H70" s="668" t="s">
        <v>679</v>
      </c>
      <c r="I70" s="504" t="s">
        <v>528</v>
      </c>
      <c r="J70" s="499" t="s">
        <v>660</v>
      </c>
      <c r="K70" s="504"/>
      <c r="L70" s="390" t="s">
        <v>366</v>
      </c>
      <c r="M70" s="390" t="s">
        <v>229</v>
      </c>
      <c r="N70" s="416"/>
      <c r="O70" s="505"/>
      <c r="P70" s="501">
        <v>30</v>
      </c>
      <c r="Q70" s="597">
        <f>'3. DMF Progress'!D30</f>
        <v>2</v>
      </c>
      <c r="R70" s="505">
        <v>0</v>
      </c>
      <c r="S70" s="505">
        <v>0</v>
      </c>
      <c r="T70" s="505">
        <v>10</v>
      </c>
      <c r="U70" s="505">
        <v>10</v>
      </c>
      <c r="V70" s="505">
        <v>10</v>
      </c>
      <c r="W70" s="505">
        <v>0</v>
      </c>
      <c r="X70" s="502"/>
      <c r="Y70" s="603"/>
      <c r="Z70" s="597">
        <f>'3. DMF Progress'!E30</f>
        <v>5.4</v>
      </c>
      <c r="AA70" s="602">
        <f>'3. DMF Progress'!F30</f>
        <v>0.10800000000000001</v>
      </c>
      <c r="AB70" s="654">
        <f>$Q$70/4</f>
        <v>0.5</v>
      </c>
      <c r="AC70" s="741">
        <f>'3. DMF Progress'!$P$30/100</f>
        <v>3.6000000000000004E-2</v>
      </c>
      <c r="AD70" s="1065">
        <f>'3. DMF Progress'!$AJ$30/100</f>
        <v>7.2000000000000005E-4</v>
      </c>
      <c r="AE70" s="397"/>
      <c r="AF70" s="654">
        <f>$Q$70/4</f>
        <v>0.5</v>
      </c>
      <c r="AG70" s="741">
        <f>'3. DMF Progress'!$AA$30/100</f>
        <v>0.19834999999999997</v>
      </c>
      <c r="AH70" s="1065">
        <f>'3. DMF Progress'!$AU$30/100</f>
        <v>3.967E-3</v>
      </c>
      <c r="AI70" s="397"/>
      <c r="AK70" s="611">
        <f>Y70+AB70+AF70</f>
        <v>1</v>
      </c>
      <c r="AL70" s="740">
        <f>Z70+AC70+AG70</f>
        <v>5.6343499999999995</v>
      </c>
      <c r="AM70" s="745">
        <f>AA70+AD70+AH70</f>
        <v>0.11268700000000001</v>
      </c>
      <c r="AN70" s="1069"/>
    </row>
    <row r="71" spans="1:40" ht="48" customHeight="1">
      <c r="A71" s="496"/>
      <c r="B71" s="497"/>
      <c r="C71" s="497"/>
      <c r="D71" s="497"/>
      <c r="E71" s="529" t="s">
        <v>624</v>
      </c>
      <c r="F71" s="1079"/>
      <c r="G71" s="1079"/>
      <c r="H71" s="667"/>
      <c r="I71" s="504"/>
      <c r="J71" s="499"/>
      <c r="K71" s="504"/>
      <c r="L71" s="390" t="s">
        <v>366</v>
      </c>
      <c r="M71" s="390" t="s">
        <v>229</v>
      </c>
      <c r="N71" s="416" t="s">
        <v>134</v>
      </c>
      <c r="O71" s="505">
        <v>0</v>
      </c>
      <c r="P71" s="501">
        <f>P70/2</f>
        <v>15</v>
      </c>
      <c r="Q71" s="501"/>
      <c r="R71" s="505">
        <v>0</v>
      </c>
      <c r="S71" s="505">
        <f>S70/2</f>
        <v>0</v>
      </c>
      <c r="T71" s="505">
        <f t="shared" ref="T71:W71" si="30">T70/2</f>
        <v>5</v>
      </c>
      <c r="U71" s="505">
        <f t="shared" si="30"/>
        <v>5</v>
      </c>
      <c r="V71" s="505">
        <f t="shared" si="30"/>
        <v>5</v>
      </c>
      <c r="W71" s="505">
        <f t="shared" si="30"/>
        <v>0</v>
      </c>
      <c r="X71" s="502"/>
      <c r="Y71" s="603"/>
      <c r="Z71" s="597"/>
      <c r="AA71" s="602"/>
      <c r="AB71" s="654"/>
      <c r="AC71" s="617"/>
      <c r="AD71" s="407"/>
      <c r="AE71" s="397"/>
      <c r="AF71" s="654"/>
      <c r="AG71" s="617"/>
      <c r="AH71" s="407"/>
      <c r="AI71" s="397"/>
      <c r="AK71" s="611"/>
      <c r="AL71" s="740"/>
      <c r="AM71" s="745"/>
    </row>
    <row r="72" spans="1:40" ht="48" customHeight="1">
      <c r="A72" s="496"/>
      <c r="B72" s="497"/>
      <c r="C72" s="497"/>
      <c r="D72" s="497"/>
      <c r="E72" s="584" t="s">
        <v>625</v>
      </c>
      <c r="F72" s="1086"/>
      <c r="G72" s="1086"/>
      <c r="H72" s="667"/>
      <c r="I72" s="504"/>
      <c r="J72" s="499"/>
      <c r="K72" s="504"/>
      <c r="L72" s="390" t="s">
        <v>366</v>
      </c>
      <c r="M72" s="390" t="s">
        <v>229</v>
      </c>
      <c r="N72" s="416" t="s">
        <v>435</v>
      </c>
      <c r="O72" s="505">
        <v>0</v>
      </c>
      <c r="P72" s="501">
        <f>P70/2</f>
        <v>15</v>
      </c>
      <c r="Q72" s="501"/>
      <c r="R72" s="505">
        <v>0</v>
      </c>
      <c r="S72" s="505">
        <f>S70/2</f>
        <v>0</v>
      </c>
      <c r="T72" s="505">
        <f t="shared" ref="T72:W72" si="31">T70/2</f>
        <v>5</v>
      </c>
      <c r="U72" s="505">
        <f t="shared" si="31"/>
        <v>5</v>
      </c>
      <c r="V72" s="505">
        <f t="shared" si="31"/>
        <v>5</v>
      </c>
      <c r="W72" s="505">
        <f t="shared" si="31"/>
        <v>0</v>
      </c>
      <c r="X72" s="502"/>
      <c r="Y72" s="603"/>
      <c r="Z72" s="597"/>
      <c r="AA72" s="602"/>
      <c r="AB72" s="654"/>
      <c r="AC72" s="617"/>
      <c r="AD72" s="407"/>
      <c r="AE72" s="397"/>
      <c r="AF72" s="654"/>
      <c r="AG72" s="617"/>
      <c r="AH72" s="407"/>
      <c r="AI72" s="397"/>
      <c r="AK72" s="611"/>
      <c r="AL72" s="740"/>
      <c r="AM72" s="745"/>
    </row>
    <row r="73" spans="1:40" ht="77.45" customHeight="1">
      <c r="A73" s="496">
        <v>18</v>
      </c>
      <c r="B73" s="497" t="s">
        <v>453</v>
      </c>
      <c r="C73" s="497" t="s">
        <v>449</v>
      </c>
      <c r="D73" s="497"/>
      <c r="E73" s="528" t="s">
        <v>659</v>
      </c>
      <c r="F73" s="1078">
        <v>20000</v>
      </c>
      <c r="G73" s="1078">
        <v>20000</v>
      </c>
      <c r="H73" s="668" t="s">
        <v>679</v>
      </c>
      <c r="I73" s="504" t="s">
        <v>368</v>
      </c>
      <c r="J73" s="499" t="s">
        <v>660</v>
      </c>
      <c r="K73" s="504"/>
      <c r="L73" s="390" t="s">
        <v>366</v>
      </c>
      <c r="M73" s="390" t="s">
        <v>229</v>
      </c>
      <c r="N73" s="416" t="s">
        <v>436</v>
      </c>
      <c r="O73" s="505">
        <v>0</v>
      </c>
      <c r="P73" s="501">
        <v>20000</v>
      </c>
      <c r="Q73" s="597">
        <f>'3. DMF Progress'!D31</f>
        <v>2</v>
      </c>
      <c r="R73" s="505">
        <v>0</v>
      </c>
      <c r="S73" s="505">
        <v>0</v>
      </c>
      <c r="T73" s="505">
        <v>5500</v>
      </c>
      <c r="U73" s="505">
        <v>6000</v>
      </c>
      <c r="V73" s="505">
        <v>6000</v>
      </c>
      <c r="W73" s="505">
        <v>2500</v>
      </c>
      <c r="X73" s="502"/>
      <c r="Y73" s="603"/>
      <c r="Z73" s="597">
        <f>'3. DMF Progress'!E31</f>
        <v>4.5</v>
      </c>
      <c r="AA73" s="602">
        <f>'3. DMF Progress'!F31</f>
        <v>0.09</v>
      </c>
      <c r="AB73" s="654">
        <f>$Q$73/4</f>
        <v>0.5</v>
      </c>
      <c r="AC73" s="741">
        <f>'3. DMF Progress'!$P$31/100</f>
        <v>8.9999999999999993E-3</v>
      </c>
      <c r="AD73" s="1065">
        <f>'3. DMF Progress'!$AJ$31/100</f>
        <v>1.7999999999999998E-4</v>
      </c>
      <c r="AE73" s="397"/>
      <c r="AF73" s="654">
        <f>$Q$73/4</f>
        <v>0.5</v>
      </c>
      <c r="AG73" s="741">
        <f>'3. DMF Progress'!$AA$31/100</f>
        <v>0.20740000000000003</v>
      </c>
      <c r="AH73" s="1065">
        <f>'3. DMF Progress'!$AU$31/100</f>
        <v>4.1480000000000006E-3</v>
      </c>
      <c r="AI73" s="397"/>
      <c r="AK73" s="611">
        <f t="shared" ref="AK73:AM74" si="32">Y73+AB73+AF73</f>
        <v>1</v>
      </c>
      <c r="AL73" s="740">
        <f t="shared" si="32"/>
        <v>4.7164000000000001</v>
      </c>
      <c r="AM73" s="745">
        <f t="shared" si="32"/>
        <v>9.4327999999999995E-2</v>
      </c>
      <c r="AN73" s="1069"/>
    </row>
    <row r="74" spans="1:40" ht="77.45" customHeight="1">
      <c r="A74" s="496">
        <v>19</v>
      </c>
      <c r="B74" s="497" t="s">
        <v>454</v>
      </c>
      <c r="C74" s="497" t="s">
        <v>448</v>
      </c>
      <c r="D74" s="497"/>
      <c r="E74" s="528" t="s">
        <v>409</v>
      </c>
      <c r="F74" s="1078"/>
      <c r="G74" s="1078"/>
      <c r="H74" s="668" t="s">
        <v>679</v>
      </c>
      <c r="I74" s="504" t="s">
        <v>368</v>
      </c>
      <c r="J74" s="499" t="s">
        <v>660</v>
      </c>
      <c r="K74" s="504"/>
      <c r="L74" s="415" t="s">
        <v>366</v>
      </c>
      <c r="M74" s="415" t="s">
        <v>229</v>
      </c>
      <c r="N74" s="416" t="s">
        <v>700</v>
      </c>
      <c r="O74" s="505">
        <v>0</v>
      </c>
      <c r="P74" s="501">
        <v>1</v>
      </c>
      <c r="Q74" s="597">
        <f>'3. DMF Progress'!D32</f>
        <v>2</v>
      </c>
      <c r="R74" s="505">
        <v>0</v>
      </c>
      <c r="S74" s="505">
        <v>0</v>
      </c>
      <c r="T74" s="631">
        <v>0.3</v>
      </c>
      <c r="U74" s="631">
        <v>0.3</v>
      </c>
      <c r="V74" s="631">
        <v>0.3</v>
      </c>
      <c r="W74" s="631">
        <v>0.1</v>
      </c>
      <c r="X74" s="502"/>
      <c r="Y74" s="603"/>
      <c r="Z74" s="597">
        <f>'3. DMF Progress'!E32</f>
        <v>4.5</v>
      </c>
      <c r="AA74" s="602">
        <f>'3. DMF Progress'!F32</f>
        <v>0.09</v>
      </c>
      <c r="AB74" s="654">
        <f>$Q$74/4</f>
        <v>0.5</v>
      </c>
      <c r="AC74" s="741">
        <f>'3. DMF Progress'!$P$32/100</f>
        <v>7.4999999999999997E-3</v>
      </c>
      <c r="AD74" s="1065">
        <f>'3. DMF Progress'!$AJ$32/100</f>
        <v>1.4999999999999999E-4</v>
      </c>
      <c r="AE74" s="397"/>
      <c r="AF74" s="654">
        <f>$Q$74/4</f>
        <v>0.5</v>
      </c>
      <c r="AG74" s="741">
        <f>'3. DMF Progress'!$AA$32/100</f>
        <v>7.4999999999999997E-3</v>
      </c>
      <c r="AH74" s="1065">
        <f>'3. DMF Progress'!$AU$32/100</f>
        <v>1.4999999999999999E-4</v>
      </c>
      <c r="AI74" s="397"/>
      <c r="AK74" s="611">
        <f t="shared" si="32"/>
        <v>1</v>
      </c>
      <c r="AL74" s="740">
        <f t="shared" si="32"/>
        <v>4.5150000000000006</v>
      </c>
      <c r="AM74" s="745">
        <f>AA74+AD74+AH74</f>
        <v>9.0299999999999991E-2</v>
      </c>
      <c r="AN74" s="1069"/>
    </row>
    <row r="75" spans="1:40" ht="77.45" customHeight="1" thickBot="1">
      <c r="A75" s="496"/>
      <c r="B75" s="497" t="s">
        <v>675</v>
      </c>
      <c r="C75" s="497" t="s">
        <v>673</v>
      </c>
      <c r="D75" s="497" t="s">
        <v>674</v>
      </c>
      <c r="E75" s="528" t="s">
        <v>18</v>
      </c>
      <c r="F75" s="1078"/>
      <c r="G75" s="1078"/>
      <c r="H75" s="668" t="s">
        <v>679</v>
      </c>
      <c r="I75" s="504"/>
      <c r="J75" s="499"/>
      <c r="K75" s="504"/>
      <c r="L75" s="415"/>
      <c r="M75" s="415"/>
      <c r="N75" s="416" t="s">
        <v>700</v>
      </c>
      <c r="O75" s="505"/>
      <c r="P75" s="501">
        <v>1</v>
      </c>
      <c r="Q75" s="597">
        <f>'3. DMF Progress'!D33</f>
        <v>3</v>
      </c>
      <c r="R75" s="505">
        <v>0</v>
      </c>
      <c r="S75" s="505">
        <v>0</v>
      </c>
      <c r="T75" s="631">
        <v>0.3</v>
      </c>
      <c r="U75" s="631">
        <v>0.3</v>
      </c>
      <c r="V75" s="631">
        <v>0.3</v>
      </c>
      <c r="W75" s="631">
        <v>0.1</v>
      </c>
      <c r="X75" s="502"/>
      <c r="Y75" s="500"/>
      <c r="Z75" s="597">
        <f>'3. DMF Progress'!E33</f>
        <v>6.9</v>
      </c>
      <c r="AA75" s="602">
        <f>'3. DMF Progress'!F33</f>
        <v>0.20700000000000002</v>
      </c>
      <c r="AB75" s="654">
        <f>$Q$75/4</f>
        <v>0.75</v>
      </c>
      <c r="AC75" s="741">
        <f>'3. DMF Progress'!$P$33/100</f>
        <v>0.11</v>
      </c>
      <c r="AD75" s="1065">
        <f>'3. DMF Progress'!$AJ$33/100</f>
        <v>3.3E-3</v>
      </c>
      <c r="AE75" s="397"/>
      <c r="AF75" s="654">
        <f>$Q$75/4</f>
        <v>0.75</v>
      </c>
      <c r="AG75" s="741">
        <f>'3. DMF Progress'!$AA$33/100</f>
        <v>0.256575</v>
      </c>
      <c r="AH75" s="1065">
        <f>'3. DMF Progress'!$AU$33/100</f>
        <v>7.6972500000000001E-3</v>
      </c>
      <c r="AI75" s="397"/>
      <c r="AK75" s="618"/>
      <c r="AL75" s="746"/>
      <c r="AM75" s="747"/>
      <c r="AN75" s="1069"/>
    </row>
    <row r="76" spans="1:40" ht="1.5" customHeight="1">
      <c r="A76" s="520"/>
      <c r="B76" s="521"/>
      <c r="C76" s="521"/>
      <c r="D76" s="521"/>
      <c r="E76" s="522"/>
      <c r="F76" s="1087"/>
      <c r="G76" s="1087"/>
      <c r="H76" s="522"/>
      <c r="I76" s="523"/>
      <c r="J76" s="524"/>
      <c r="K76" s="523"/>
      <c r="L76" s="525"/>
      <c r="M76" s="525"/>
      <c r="N76" s="604"/>
      <c r="O76" s="604"/>
      <c r="P76" s="604"/>
      <c r="Q76" s="604"/>
      <c r="R76" s="604"/>
      <c r="S76" s="604"/>
      <c r="T76" s="604"/>
      <c r="U76" s="604"/>
      <c r="V76" s="604"/>
      <c r="W76" s="604"/>
      <c r="X76" s="604"/>
      <c r="Y76" s="604"/>
      <c r="Z76" s="598"/>
      <c r="AA76" s="604"/>
      <c r="AB76" s="604"/>
      <c r="AC76" s="604"/>
      <c r="AD76" s="526" t="e">
        <f t="shared" ref="AD76:AD144" si="33">AC76/AB76</f>
        <v>#DIV/0!</v>
      </c>
      <c r="AE76" s="522"/>
      <c r="AF76" s="616">
        <f>S76/2</f>
        <v>0</v>
      </c>
      <c r="AG76" s="617"/>
      <c r="AH76" s="526" t="e">
        <f t="shared" ref="AH76:AH144" si="34">AG76/AF76</f>
        <v>#DIV/0!</v>
      </c>
      <c r="AI76" s="522"/>
      <c r="AK76" s="742"/>
      <c r="AL76" s="743"/>
      <c r="AM76" s="744"/>
    </row>
    <row r="77" spans="1:40" ht="35.1" customHeight="1">
      <c r="A77" s="506"/>
      <c r="B77" s="497"/>
      <c r="C77" s="497"/>
      <c r="D77" s="497"/>
      <c r="E77" s="512" t="s">
        <v>533</v>
      </c>
      <c r="F77" s="1088"/>
      <c r="G77" s="1088"/>
      <c r="H77" s="500"/>
      <c r="I77" s="500"/>
      <c r="J77" s="500"/>
      <c r="K77" s="500"/>
      <c r="L77" s="500"/>
      <c r="M77" s="500"/>
      <c r="N77" s="500"/>
      <c r="O77" s="500"/>
      <c r="P77" s="501"/>
      <c r="Q77" s="501"/>
      <c r="R77" s="505"/>
      <c r="S77" s="505"/>
      <c r="T77" s="505"/>
      <c r="U77" s="505"/>
      <c r="V77" s="505"/>
      <c r="W77" s="505"/>
      <c r="X77" s="502"/>
      <c r="Y77" s="603"/>
      <c r="Z77" s="500"/>
      <c r="AA77" s="608"/>
      <c r="AB77" s="616"/>
      <c r="AC77" s="617"/>
      <c r="AD77" s="400"/>
      <c r="AE77" s="397"/>
      <c r="AF77" s="616"/>
      <c r="AG77" s="617"/>
      <c r="AH77" s="400"/>
      <c r="AI77" s="397"/>
      <c r="AK77" s="611"/>
      <c r="AL77" s="612"/>
      <c r="AM77" s="613"/>
    </row>
    <row r="78" spans="1:40" s="572" customFormat="1" ht="35.1" customHeight="1">
      <c r="A78" s="574"/>
      <c r="B78" s="560"/>
      <c r="C78" s="560"/>
      <c r="D78" s="560"/>
      <c r="E78" s="561" t="s">
        <v>532</v>
      </c>
      <c r="F78" s="1081"/>
      <c r="G78" s="1081"/>
      <c r="H78" s="562"/>
      <c r="I78" s="563"/>
      <c r="J78" s="564"/>
      <c r="K78" s="563"/>
      <c r="L78" s="565"/>
      <c r="M78" s="565"/>
      <c r="N78" s="566"/>
      <c r="O78" s="567"/>
      <c r="P78" s="568"/>
      <c r="Q78" s="568"/>
      <c r="R78" s="567"/>
      <c r="S78" s="567"/>
      <c r="T78" s="567"/>
      <c r="U78" s="567"/>
      <c r="V78" s="567"/>
      <c r="W78" s="567"/>
      <c r="X78" s="569"/>
      <c r="Y78" s="662"/>
      <c r="Z78" s="614"/>
      <c r="AA78" s="663"/>
      <c r="AB78" s="627"/>
      <c r="AC78" s="628"/>
      <c r="AD78" s="630"/>
      <c r="AE78" s="562"/>
      <c r="AF78" s="627"/>
      <c r="AG78" s="628"/>
      <c r="AH78" s="630"/>
      <c r="AI78" s="562"/>
      <c r="AK78" s="611"/>
      <c r="AL78" s="612"/>
      <c r="AM78" s="613"/>
    </row>
    <row r="79" spans="1:40" s="550" customFormat="1" ht="35.1" customHeight="1">
      <c r="A79" s="573"/>
      <c r="B79" s="542"/>
      <c r="C79" s="542"/>
      <c r="D79" s="542"/>
      <c r="E79" s="518" t="s">
        <v>534</v>
      </c>
      <c r="F79" s="1077"/>
      <c r="G79" s="1077"/>
      <c r="H79" s="543"/>
      <c r="I79" s="544"/>
      <c r="J79" s="545"/>
      <c r="K79" s="544"/>
      <c r="L79" s="546"/>
      <c r="M79" s="546"/>
      <c r="N79" s="547"/>
      <c r="O79" s="548"/>
      <c r="P79" s="549"/>
      <c r="Q79" s="549"/>
      <c r="R79" s="406"/>
      <c r="S79" s="406"/>
      <c r="T79" s="406"/>
      <c r="U79" s="406"/>
      <c r="V79" s="406"/>
      <c r="W79" s="406"/>
      <c r="X79" s="409"/>
      <c r="Y79" s="622"/>
      <c r="Z79" s="623"/>
      <c r="AA79" s="624"/>
      <c r="AB79" s="625"/>
      <c r="AC79" s="617"/>
      <c r="AD79" s="626"/>
      <c r="AE79" s="543"/>
      <c r="AF79" s="625"/>
      <c r="AG79" s="617"/>
      <c r="AH79" s="626"/>
      <c r="AI79" s="543"/>
      <c r="AK79" s="611"/>
      <c r="AL79" s="612"/>
      <c r="AM79" s="613"/>
    </row>
    <row r="80" spans="1:40" ht="121.15" customHeight="1">
      <c r="A80" s="496">
        <v>20</v>
      </c>
      <c r="B80" s="497"/>
      <c r="C80" s="497" t="s">
        <v>517</v>
      </c>
      <c r="D80" s="497"/>
      <c r="E80" s="528" t="s">
        <v>554</v>
      </c>
      <c r="F80" s="1078"/>
      <c r="G80" s="1078"/>
      <c r="H80" s="668" t="s">
        <v>679</v>
      </c>
      <c r="I80" s="403" t="s">
        <v>607</v>
      </c>
      <c r="J80" s="404" t="s">
        <v>604</v>
      </c>
      <c r="K80" s="403" t="s">
        <v>531</v>
      </c>
      <c r="L80" s="390"/>
      <c r="M80" s="390"/>
      <c r="N80" s="416"/>
      <c r="O80" s="500" t="s">
        <v>515</v>
      </c>
      <c r="P80" s="408"/>
      <c r="Q80" s="408"/>
      <c r="R80" s="505"/>
      <c r="S80" s="505"/>
      <c r="T80" s="505"/>
      <c r="U80" s="505"/>
      <c r="V80" s="505"/>
      <c r="W80" s="505"/>
      <c r="X80" s="502"/>
      <c r="Y80" s="603"/>
      <c r="Z80" s="597"/>
      <c r="AA80" s="602"/>
      <c r="AB80" s="654">
        <f t="shared" ref="AB80:AB86" si="35">T80/2</f>
        <v>0</v>
      </c>
      <c r="AC80" s="617"/>
      <c r="AD80" s="400">
        <f>IF(AB80,AC80/AB80,0)</f>
        <v>0</v>
      </c>
      <c r="AE80" s="397"/>
      <c r="AF80" s="654">
        <f t="shared" ref="AF80:AF86" si="36">T80/2</f>
        <v>0</v>
      </c>
      <c r="AG80" s="617"/>
      <c r="AH80" s="400" t="e">
        <f t="shared" si="34"/>
        <v>#DIV/0!</v>
      </c>
      <c r="AI80" s="397"/>
      <c r="AK80" s="611"/>
      <c r="AL80" s="612"/>
      <c r="AM80" s="613"/>
    </row>
    <row r="81" spans="1:39" ht="33" customHeight="1">
      <c r="A81" s="506"/>
      <c r="B81" s="497"/>
      <c r="C81" s="497" t="s">
        <v>561</v>
      </c>
      <c r="D81" s="497"/>
      <c r="E81" s="503" t="s">
        <v>556</v>
      </c>
      <c r="F81" s="1089"/>
      <c r="G81" s="1089"/>
      <c r="H81" s="667"/>
      <c r="I81" s="403"/>
      <c r="J81" s="404"/>
      <c r="K81" s="403"/>
      <c r="L81" s="390" t="s">
        <v>365</v>
      </c>
      <c r="M81" s="390" t="s">
        <v>229</v>
      </c>
      <c r="N81" s="416" t="s">
        <v>362</v>
      </c>
      <c r="O81" s="500" t="s">
        <v>515</v>
      </c>
      <c r="P81" s="408">
        <v>40</v>
      </c>
      <c r="Q81" s="408"/>
      <c r="R81" s="505"/>
      <c r="S81" s="505"/>
      <c r="T81" s="505"/>
      <c r="U81" s="505"/>
      <c r="V81" s="505"/>
      <c r="W81" s="505"/>
      <c r="X81" s="502"/>
      <c r="Y81" s="603"/>
      <c r="Z81" s="597"/>
      <c r="AA81" s="602"/>
      <c r="AB81" s="654">
        <f t="shared" si="35"/>
        <v>0</v>
      </c>
      <c r="AC81" s="617"/>
      <c r="AD81" s="400">
        <f>IF(AB81,AC81/AB81,0)</f>
        <v>0</v>
      </c>
      <c r="AE81" s="397"/>
      <c r="AF81" s="654">
        <f t="shared" si="36"/>
        <v>0</v>
      </c>
      <c r="AG81" s="617"/>
      <c r="AH81" s="400" t="e">
        <f t="shared" si="34"/>
        <v>#DIV/0!</v>
      </c>
      <c r="AI81" s="397"/>
      <c r="AK81" s="611"/>
      <c r="AL81" s="612"/>
      <c r="AM81" s="613"/>
    </row>
    <row r="82" spans="1:39" ht="33" customHeight="1">
      <c r="A82" s="506"/>
      <c r="B82" s="497"/>
      <c r="C82" s="497"/>
      <c r="D82" s="497"/>
      <c r="E82" s="503" t="s">
        <v>558</v>
      </c>
      <c r="F82" s="1089"/>
      <c r="G82" s="1089"/>
      <c r="H82" s="667"/>
      <c r="I82" s="403"/>
      <c r="J82" s="404"/>
      <c r="K82" s="403"/>
      <c r="L82" s="390" t="s">
        <v>365</v>
      </c>
      <c r="M82" s="390" t="s">
        <v>229</v>
      </c>
      <c r="N82" s="416" t="s">
        <v>362</v>
      </c>
      <c r="O82" s="500" t="s">
        <v>515</v>
      </c>
      <c r="P82" s="408">
        <v>54</v>
      </c>
      <c r="Q82" s="408"/>
      <c r="R82" s="505"/>
      <c r="S82" s="505"/>
      <c r="T82" s="505"/>
      <c r="U82" s="505"/>
      <c r="V82" s="505"/>
      <c r="W82" s="505"/>
      <c r="X82" s="502"/>
      <c r="Y82" s="603"/>
      <c r="Z82" s="597"/>
      <c r="AA82" s="602"/>
      <c r="AB82" s="654">
        <f t="shared" si="35"/>
        <v>0</v>
      </c>
      <c r="AC82" s="617"/>
      <c r="AD82" s="400"/>
      <c r="AE82" s="397"/>
      <c r="AF82" s="654">
        <f t="shared" si="36"/>
        <v>0</v>
      </c>
      <c r="AG82" s="617"/>
      <c r="AH82" s="400"/>
      <c r="AI82" s="397"/>
      <c r="AK82" s="611"/>
      <c r="AL82" s="612"/>
      <c r="AM82" s="613"/>
    </row>
    <row r="83" spans="1:39" ht="33" customHeight="1">
      <c r="A83" s="506"/>
      <c r="B83" s="497"/>
      <c r="C83" s="497"/>
      <c r="D83" s="497"/>
      <c r="E83" s="503" t="s">
        <v>559</v>
      </c>
      <c r="F83" s="1089"/>
      <c r="G83" s="1089"/>
      <c r="H83" s="667"/>
      <c r="I83" s="403"/>
      <c r="J83" s="404"/>
      <c r="K83" s="403"/>
      <c r="L83" s="390" t="s">
        <v>365</v>
      </c>
      <c r="M83" s="390" t="s">
        <v>229</v>
      </c>
      <c r="N83" s="416" t="s">
        <v>362</v>
      </c>
      <c r="O83" s="500" t="s">
        <v>515</v>
      </c>
      <c r="P83" s="408">
        <v>47</v>
      </c>
      <c r="Q83" s="408"/>
      <c r="R83" s="505"/>
      <c r="S83" s="505"/>
      <c r="T83" s="505"/>
      <c r="U83" s="505"/>
      <c r="V83" s="505"/>
      <c r="W83" s="505"/>
      <c r="X83" s="502"/>
      <c r="Y83" s="603"/>
      <c r="Z83" s="597"/>
      <c r="AA83" s="602"/>
      <c r="AB83" s="654">
        <f t="shared" si="35"/>
        <v>0</v>
      </c>
      <c r="AC83" s="617"/>
      <c r="AD83" s="400"/>
      <c r="AE83" s="397"/>
      <c r="AF83" s="654">
        <f t="shared" si="36"/>
        <v>0</v>
      </c>
      <c r="AG83" s="617"/>
      <c r="AH83" s="400"/>
      <c r="AI83" s="397"/>
      <c r="AK83" s="611"/>
      <c r="AL83" s="612"/>
      <c r="AM83" s="613"/>
    </row>
    <row r="84" spans="1:39" ht="33" customHeight="1">
      <c r="A84" s="506"/>
      <c r="B84" s="497"/>
      <c r="C84" s="497"/>
      <c r="D84" s="497"/>
      <c r="E84" s="503" t="s">
        <v>560</v>
      </c>
      <c r="F84" s="1089"/>
      <c r="G84" s="1089"/>
      <c r="H84" s="667"/>
      <c r="I84" s="403"/>
      <c r="J84" s="404"/>
      <c r="K84" s="403"/>
      <c r="L84" s="390" t="s">
        <v>365</v>
      </c>
      <c r="M84" s="390" t="s">
        <v>229</v>
      </c>
      <c r="N84" s="416" t="s">
        <v>362</v>
      </c>
      <c r="O84" s="500" t="s">
        <v>515</v>
      </c>
      <c r="P84" s="408">
        <v>48</v>
      </c>
      <c r="Q84" s="408"/>
      <c r="R84" s="505"/>
      <c r="S84" s="505"/>
      <c r="T84" s="505"/>
      <c r="U84" s="505"/>
      <c r="V84" s="505"/>
      <c r="W84" s="505"/>
      <c r="X84" s="502"/>
      <c r="Y84" s="603"/>
      <c r="Z84" s="597"/>
      <c r="AA84" s="602"/>
      <c r="AB84" s="654">
        <f t="shared" si="35"/>
        <v>0</v>
      </c>
      <c r="AC84" s="617"/>
      <c r="AD84" s="400"/>
      <c r="AE84" s="397"/>
      <c r="AF84" s="654">
        <f t="shared" si="36"/>
        <v>0</v>
      </c>
      <c r="AG84" s="617"/>
      <c r="AH84" s="400"/>
      <c r="AI84" s="397"/>
      <c r="AK84" s="611"/>
      <c r="AL84" s="612"/>
      <c r="AM84" s="613"/>
    </row>
    <row r="85" spans="1:39" ht="33" customHeight="1">
      <c r="A85" s="506"/>
      <c r="B85" s="497"/>
      <c r="C85" s="497"/>
      <c r="D85" s="497"/>
      <c r="E85" s="503" t="s">
        <v>557</v>
      </c>
      <c r="F85" s="1089"/>
      <c r="G85" s="1089"/>
      <c r="H85" s="667"/>
      <c r="I85" s="403"/>
      <c r="J85" s="404"/>
      <c r="K85" s="403"/>
      <c r="L85" s="390" t="s">
        <v>365</v>
      </c>
      <c r="M85" s="390" t="s">
        <v>229</v>
      </c>
      <c r="N85" s="416" t="s">
        <v>362</v>
      </c>
      <c r="O85" s="500" t="s">
        <v>515</v>
      </c>
      <c r="P85" s="408">
        <v>30</v>
      </c>
      <c r="Q85" s="408"/>
      <c r="R85" s="505"/>
      <c r="S85" s="505"/>
      <c r="T85" s="505"/>
      <c r="U85" s="505"/>
      <c r="V85" s="505"/>
      <c r="W85" s="505"/>
      <c r="X85" s="502"/>
      <c r="Y85" s="603"/>
      <c r="Z85" s="597"/>
      <c r="AA85" s="602"/>
      <c r="AB85" s="654">
        <f t="shared" si="35"/>
        <v>0</v>
      </c>
      <c r="AC85" s="617"/>
      <c r="AD85" s="400"/>
      <c r="AE85" s="397"/>
      <c r="AF85" s="654">
        <f t="shared" si="36"/>
        <v>0</v>
      </c>
      <c r="AG85" s="617"/>
      <c r="AH85" s="400"/>
      <c r="AI85" s="397"/>
      <c r="AK85" s="611"/>
      <c r="AL85" s="612"/>
      <c r="AM85" s="613"/>
    </row>
    <row r="86" spans="1:39" ht="56.45" customHeight="1">
      <c r="A86" s="506"/>
      <c r="B86" s="497"/>
      <c r="C86" s="497" t="s">
        <v>562</v>
      </c>
      <c r="D86" s="497"/>
      <c r="E86" s="503" t="s">
        <v>555</v>
      </c>
      <c r="F86" s="1089"/>
      <c r="G86" s="1089"/>
      <c r="H86" s="667"/>
      <c r="I86" s="403"/>
      <c r="J86" s="404"/>
      <c r="K86" s="403"/>
      <c r="L86" s="390" t="s">
        <v>365</v>
      </c>
      <c r="M86" s="390" t="s">
        <v>229</v>
      </c>
      <c r="N86" s="416" t="s">
        <v>134</v>
      </c>
      <c r="O86" s="500" t="s">
        <v>515</v>
      </c>
      <c r="P86" s="408">
        <v>50000</v>
      </c>
      <c r="Q86" s="408"/>
      <c r="R86" s="505"/>
      <c r="S86" s="505"/>
      <c r="T86" s="505"/>
      <c r="U86" s="505"/>
      <c r="V86" s="505"/>
      <c r="W86" s="505"/>
      <c r="X86" s="502"/>
      <c r="Y86" s="603"/>
      <c r="Z86" s="597"/>
      <c r="AA86" s="602"/>
      <c r="AB86" s="654">
        <f t="shared" si="35"/>
        <v>0</v>
      </c>
      <c r="AC86" s="617"/>
      <c r="AD86" s="400"/>
      <c r="AE86" s="397"/>
      <c r="AF86" s="654">
        <f t="shared" si="36"/>
        <v>0</v>
      </c>
      <c r="AG86" s="617"/>
      <c r="AH86" s="400"/>
      <c r="AI86" s="397"/>
      <c r="AK86" s="611"/>
      <c r="AL86" s="612"/>
      <c r="AM86" s="613"/>
    </row>
    <row r="87" spans="1:39" s="550" customFormat="1" ht="35.1" customHeight="1">
      <c r="A87" s="573"/>
      <c r="B87" s="542"/>
      <c r="C87" s="542"/>
      <c r="D87" s="542"/>
      <c r="E87" s="518" t="s">
        <v>535</v>
      </c>
      <c r="F87" s="1077"/>
      <c r="G87" s="1077"/>
      <c r="H87" s="543"/>
      <c r="I87" s="544"/>
      <c r="J87" s="545"/>
      <c r="K87" s="544"/>
      <c r="L87" s="546"/>
      <c r="M87" s="546"/>
      <c r="N87" s="547"/>
      <c r="O87" s="548"/>
      <c r="P87" s="549"/>
      <c r="Q87" s="549"/>
      <c r="R87" s="406"/>
      <c r="S87" s="406"/>
      <c r="T87" s="406"/>
      <c r="U87" s="406"/>
      <c r="V87" s="406"/>
      <c r="W87" s="406"/>
      <c r="X87" s="409"/>
      <c r="Y87" s="622"/>
      <c r="Z87" s="623"/>
      <c r="AA87" s="624"/>
      <c r="AB87" s="625"/>
      <c r="AC87" s="617"/>
      <c r="AD87" s="626"/>
      <c r="AE87" s="543"/>
      <c r="AF87" s="625"/>
      <c r="AG87" s="617"/>
      <c r="AH87" s="626"/>
      <c r="AI87" s="543"/>
      <c r="AK87" s="611"/>
      <c r="AL87" s="612"/>
      <c r="AM87" s="613"/>
    </row>
    <row r="88" spans="1:39" ht="94.15" customHeight="1">
      <c r="A88" s="496">
        <v>21</v>
      </c>
      <c r="B88" s="497"/>
      <c r="C88" s="497" t="s">
        <v>529</v>
      </c>
      <c r="D88" s="497"/>
      <c r="E88" s="528" t="s">
        <v>563</v>
      </c>
      <c r="F88" s="1078"/>
      <c r="G88" s="1078"/>
      <c r="H88" s="668" t="s">
        <v>679</v>
      </c>
      <c r="I88" s="403" t="s">
        <v>607</v>
      </c>
      <c r="J88" s="404" t="s">
        <v>604</v>
      </c>
      <c r="K88" s="403" t="s">
        <v>530</v>
      </c>
      <c r="L88" s="390" t="s">
        <v>365</v>
      </c>
      <c r="M88" s="390" t="s">
        <v>229</v>
      </c>
      <c r="N88" s="416" t="s">
        <v>362</v>
      </c>
      <c r="O88" s="706" t="s">
        <v>515</v>
      </c>
      <c r="P88" s="408">
        <v>25</v>
      </c>
      <c r="Q88" s="408"/>
      <c r="R88" s="505"/>
      <c r="S88" s="505"/>
      <c r="T88" s="505"/>
      <c r="U88" s="505"/>
      <c r="V88" s="505"/>
      <c r="W88" s="505"/>
      <c r="X88" s="502"/>
      <c r="Y88" s="603"/>
      <c r="Z88" s="597"/>
      <c r="AA88" s="602"/>
      <c r="AB88" s="654">
        <f>T88/2</f>
        <v>0</v>
      </c>
      <c r="AC88" s="617"/>
      <c r="AD88" s="400">
        <f>IF(AB88,AC88/AB88,0)</f>
        <v>0</v>
      </c>
      <c r="AE88" s="397"/>
      <c r="AF88" s="654">
        <f>T88/2</f>
        <v>0</v>
      </c>
      <c r="AG88" s="617"/>
      <c r="AH88" s="400" t="e">
        <f t="shared" si="34"/>
        <v>#DIV/0!</v>
      </c>
      <c r="AI88" s="397"/>
      <c r="AK88" s="611"/>
      <c r="AL88" s="612"/>
      <c r="AM88" s="613"/>
    </row>
    <row r="89" spans="1:39" ht="42.75" customHeight="1">
      <c r="A89" s="506"/>
      <c r="B89" s="497"/>
      <c r="C89" s="497"/>
      <c r="D89" s="497"/>
      <c r="E89" s="529" t="s">
        <v>637</v>
      </c>
      <c r="F89" s="1079"/>
      <c r="G89" s="1079"/>
      <c r="H89" s="667"/>
      <c r="I89" s="403"/>
      <c r="J89" s="404"/>
      <c r="K89" s="403"/>
      <c r="L89" s="390" t="s">
        <v>365</v>
      </c>
      <c r="M89" s="390" t="s">
        <v>229</v>
      </c>
      <c r="N89" s="416" t="s">
        <v>362</v>
      </c>
      <c r="O89" s="706" t="s">
        <v>515</v>
      </c>
      <c r="P89" s="408">
        <v>25</v>
      </c>
      <c r="Q89" s="408"/>
      <c r="R89" s="505"/>
      <c r="S89" s="505"/>
      <c r="T89" s="505"/>
      <c r="U89" s="505"/>
      <c r="V89" s="505"/>
      <c r="W89" s="505"/>
      <c r="X89" s="502"/>
      <c r="Y89" s="603"/>
      <c r="Z89" s="597"/>
      <c r="AA89" s="602"/>
      <c r="AB89" s="654">
        <f>T89/2</f>
        <v>0</v>
      </c>
      <c r="AC89" s="617"/>
      <c r="AD89" s="400"/>
      <c r="AE89" s="397"/>
      <c r="AF89" s="654">
        <f>T89/2</f>
        <v>0</v>
      </c>
      <c r="AG89" s="617"/>
      <c r="AH89" s="400"/>
      <c r="AI89" s="397"/>
      <c r="AK89" s="611"/>
      <c r="AL89" s="612"/>
      <c r="AM89" s="613"/>
    </row>
    <row r="90" spans="1:39" ht="43.5" customHeight="1">
      <c r="A90" s="506"/>
      <c r="B90" s="497"/>
      <c r="C90" s="497"/>
      <c r="D90" s="497"/>
      <c r="E90" s="529" t="s">
        <v>638</v>
      </c>
      <c r="F90" s="1079"/>
      <c r="G90" s="1079"/>
      <c r="H90" s="667"/>
      <c r="I90" s="403"/>
      <c r="J90" s="404"/>
      <c r="K90" s="403"/>
      <c r="L90" s="390" t="s">
        <v>365</v>
      </c>
      <c r="M90" s="390" t="s">
        <v>229</v>
      </c>
      <c r="N90" s="416" t="s">
        <v>362</v>
      </c>
      <c r="O90" s="706" t="s">
        <v>515</v>
      </c>
      <c r="P90" s="408"/>
      <c r="Q90" s="408"/>
      <c r="R90" s="505"/>
      <c r="S90" s="505"/>
      <c r="T90" s="505"/>
      <c r="U90" s="505"/>
      <c r="V90" s="505"/>
      <c r="W90" s="505"/>
      <c r="X90" s="502"/>
      <c r="Y90" s="603"/>
      <c r="Z90" s="597"/>
      <c r="AA90" s="602"/>
      <c r="AB90" s="654">
        <f>T90/2</f>
        <v>0</v>
      </c>
      <c r="AC90" s="617"/>
      <c r="AD90" s="400"/>
      <c r="AE90" s="397"/>
      <c r="AF90" s="654">
        <f>T90/2</f>
        <v>0</v>
      </c>
      <c r="AG90" s="617"/>
      <c r="AH90" s="400"/>
      <c r="AI90" s="397"/>
      <c r="AK90" s="611"/>
      <c r="AL90" s="612"/>
      <c r="AM90" s="613"/>
    </row>
    <row r="91" spans="1:39" ht="80.25" customHeight="1">
      <c r="A91" s="506"/>
      <c r="B91" s="497"/>
      <c r="C91" s="497"/>
      <c r="D91" s="497"/>
      <c r="E91" s="529" t="s">
        <v>639</v>
      </c>
      <c r="F91" s="1079"/>
      <c r="G91" s="1079"/>
      <c r="H91" s="667"/>
      <c r="I91" s="403"/>
      <c r="J91" s="404"/>
      <c r="K91" s="403"/>
      <c r="L91" s="390" t="s">
        <v>365</v>
      </c>
      <c r="M91" s="390" t="s">
        <v>229</v>
      </c>
      <c r="N91" s="416" t="s">
        <v>362</v>
      </c>
      <c r="O91" s="706" t="s">
        <v>515</v>
      </c>
      <c r="P91" s="408" t="s">
        <v>564</v>
      </c>
      <c r="Q91" s="408"/>
      <c r="R91" s="505"/>
      <c r="S91" s="505"/>
      <c r="T91" s="505"/>
      <c r="U91" s="505"/>
      <c r="V91" s="505"/>
      <c r="W91" s="505"/>
      <c r="X91" s="502"/>
      <c r="Y91" s="603"/>
      <c r="Z91" s="597"/>
      <c r="AA91" s="602"/>
      <c r="AB91" s="654">
        <f>T91/2</f>
        <v>0</v>
      </c>
      <c r="AC91" s="617"/>
      <c r="AD91" s="400"/>
      <c r="AE91" s="397"/>
      <c r="AF91" s="654">
        <f>T91/2</f>
        <v>0</v>
      </c>
      <c r="AG91" s="617"/>
      <c r="AH91" s="400"/>
      <c r="AI91" s="397"/>
      <c r="AK91" s="611"/>
      <c r="AL91" s="612"/>
      <c r="AM91" s="613"/>
    </row>
    <row r="92" spans="1:39" ht="43.15" customHeight="1">
      <c r="A92" s="496">
        <v>22</v>
      </c>
      <c r="B92" s="497"/>
      <c r="C92" s="497" t="s">
        <v>537</v>
      </c>
      <c r="D92" s="497"/>
      <c r="E92" s="498" t="s">
        <v>536</v>
      </c>
      <c r="F92" s="1090"/>
      <c r="G92" s="1090"/>
      <c r="H92" s="668" t="s">
        <v>679</v>
      </c>
      <c r="I92" s="403" t="s">
        <v>607</v>
      </c>
      <c r="J92" s="404" t="s">
        <v>604</v>
      </c>
      <c r="K92" s="403" t="s">
        <v>538</v>
      </c>
      <c r="L92" s="390" t="s">
        <v>365</v>
      </c>
      <c r="M92" s="390" t="s">
        <v>229</v>
      </c>
      <c r="N92" s="416" t="s">
        <v>362</v>
      </c>
      <c r="O92" s="706" t="s">
        <v>515</v>
      </c>
      <c r="P92" s="408">
        <v>30</v>
      </c>
      <c r="Q92" s="408"/>
      <c r="R92" s="505"/>
      <c r="S92" s="505"/>
      <c r="T92" s="505"/>
      <c r="U92" s="505"/>
      <c r="V92" s="505"/>
      <c r="W92" s="505"/>
      <c r="X92" s="502"/>
      <c r="Y92" s="603"/>
      <c r="Z92" s="597"/>
      <c r="AA92" s="602"/>
      <c r="AB92" s="654">
        <f>T92/2</f>
        <v>0</v>
      </c>
      <c r="AC92" s="617"/>
      <c r="AD92" s="400">
        <f>IF(AB92,AC92/AB92,0)</f>
        <v>0</v>
      </c>
      <c r="AE92" s="397"/>
      <c r="AF92" s="654">
        <f>T92/2</f>
        <v>0</v>
      </c>
      <c r="AG92" s="617"/>
      <c r="AH92" s="400" t="e">
        <f t="shared" si="34"/>
        <v>#DIV/0!</v>
      </c>
      <c r="AI92" s="397"/>
      <c r="AK92" s="611"/>
      <c r="AL92" s="612"/>
      <c r="AM92" s="613"/>
    </row>
    <row r="93" spans="1:39" s="550" customFormat="1" ht="35.1" customHeight="1">
      <c r="A93" s="573"/>
      <c r="B93" s="542"/>
      <c r="C93" s="542"/>
      <c r="D93" s="542"/>
      <c r="E93" s="518" t="s">
        <v>539</v>
      </c>
      <c r="F93" s="1077"/>
      <c r="G93" s="1077"/>
      <c r="H93" s="543"/>
      <c r="I93" s="544"/>
      <c r="J93" s="545"/>
      <c r="K93" s="544"/>
      <c r="L93" s="546"/>
      <c r="M93" s="546"/>
      <c r="N93" s="547"/>
      <c r="O93" s="548"/>
      <c r="P93" s="549"/>
      <c r="Q93" s="549"/>
      <c r="R93" s="406"/>
      <c r="S93" s="406"/>
      <c r="T93" s="406"/>
      <c r="U93" s="406"/>
      <c r="V93" s="406"/>
      <c r="W93" s="406"/>
      <c r="X93" s="409"/>
      <c r="Y93" s="622"/>
      <c r="Z93" s="623"/>
      <c r="AA93" s="624"/>
      <c r="AB93" s="625"/>
      <c r="AC93" s="617"/>
      <c r="AD93" s="626"/>
      <c r="AE93" s="543"/>
      <c r="AF93" s="625"/>
      <c r="AG93" s="617"/>
      <c r="AH93" s="626"/>
      <c r="AI93" s="543"/>
      <c r="AK93" s="611"/>
      <c r="AL93" s="612"/>
      <c r="AM93" s="613"/>
    </row>
    <row r="94" spans="1:39" ht="66" customHeight="1">
      <c r="A94" s="496">
        <v>23</v>
      </c>
      <c r="B94" s="497"/>
      <c r="C94" s="497" t="s">
        <v>565</v>
      </c>
      <c r="D94" s="497"/>
      <c r="E94" s="528" t="s">
        <v>580</v>
      </c>
      <c r="F94" s="1078"/>
      <c r="G94" s="1078"/>
      <c r="H94" s="668" t="s">
        <v>679</v>
      </c>
      <c r="I94" s="403" t="s">
        <v>607</v>
      </c>
      <c r="J94" s="404" t="s">
        <v>604</v>
      </c>
      <c r="K94" s="403" t="s">
        <v>540</v>
      </c>
      <c r="L94" s="390" t="s">
        <v>365</v>
      </c>
      <c r="M94" s="390" t="s">
        <v>229</v>
      </c>
      <c r="N94" s="416"/>
      <c r="O94" s="408"/>
      <c r="P94" s="408"/>
      <c r="Q94" s="408"/>
      <c r="R94" s="505"/>
      <c r="S94" s="505"/>
      <c r="T94" s="505"/>
      <c r="U94" s="505"/>
      <c r="V94" s="505"/>
      <c r="W94" s="505"/>
      <c r="X94" s="502"/>
      <c r="Y94" s="603"/>
      <c r="Z94" s="597"/>
      <c r="AA94" s="602"/>
      <c r="AB94" s="654">
        <f t="shared" ref="AB94:AB100" si="37">T94/2</f>
        <v>0</v>
      </c>
      <c r="AC94" s="617"/>
      <c r="AD94" s="400">
        <f>IF(AB94,AC94/AB94,0)</f>
        <v>0</v>
      </c>
      <c r="AE94" s="397"/>
      <c r="AF94" s="654">
        <f t="shared" ref="AF94:AF100" si="38">T94/2</f>
        <v>0</v>
      </c>
      <c r="AG94" s="617"/>
      <c r="AH94" s="400" t="e">
        <f t="shared" si="34"/>
        <v>#DIV/0!</v>
      </c>
      <c r="AI94" s="397"/>
      <c r="AK94" s="611"/>
      <c r="AL94" s="612"/>
      <c r="AM94" s="613"/>
    </row>
    <row r="95" spans="1:39" ht="66" customHeight="1">
      <c r="A95" s="506"/>
      <c r="B95" s="497"/>
      <c r="C95" s="497"/>
      <c r="D95" s="497"/>
      <c r="E95" s="529" t="s">
        <v>566</v>
      </c>
      <c r="F95" s="1079"/>
      <c r="G95" s="1079"/>
      <c r="H95" s="667"/>
      <c r="I95" s="403"/>
      <c r="J95" s="404"/>
      <c r="K95" s="403"/>
      <c r="L95" s="390" t="s">
        <v>365</v>
      </c>
      <c r="M95" s="390" t="s">
        <v>229</v>
      </c>
      <c r="N95" s="416" t="s">
        <v>435</v>
      </c>
      <c r="O95" s="408">
        <v>5721</v>
      </c>
      <c r="P95" s="408">
        <v>40000</v>
      </c>
      <c r="Q95" s="408"/>
      <c r="R95" s="505"/>
      <c r="S95" s="505"/>
      <c r="T95" s="505"/>
      <c r="U95" s="505"/>
      <c r="V95" s="505"/>
      <c r="W95" s="505"/>
      <c r="X95" s="502"/>
      <c r="Y95" s="603"/>
      <c r="Z95" s="597"/>
      <c r="AA95" s="602"/>
      <c r="AB95" s="654">
        <f t="shared" si="37"/>
        <v>0</v>
      </c>
      <c r="AC95" s="617"/>
      <c r="AD95" s="400"/>
      <c r="AE95" s="397"/>
      <c r="AF95" s="654">
        <f t="shared" si="38"/>
        <v>0</v>
      </c>
      <c r="AG95" s="617"/>
      <c r="AH95" s="400"/>
      <c r="AI95" s="397"/>
      <c r="AK95" s="611"/>
      <c r="AL95" s="612"/>
      <c r="AM95" s="613"/>
    </row>
    <row r="96" spans="1:39" ht="66" customHeight="1">
      <c r="A96" s="506"/>
      <c r="B96" s="497"/>
      <c r="C96" s="497"/>
      <c r="D96" s="497"/>
      <c r="E96" s="529" t="s">
        <v>633</v>
      </c>
      <c r="F96" s="1079"/>
      <c r="G96" s="1079"/>
      <c r="H96" s="667"/>
      <c r="I96" s="403"/>
      <c r="J96" s="404"/>
      <c r="K96" s="403"/>
      <c r="L96" s="390" t="s">
        <v>365</v>
      </c>
      <c r="M96" s="390" t="s">
        <v>229</v>
      </c>
      <c r="N96" s="416" t="s">
        <v>435</v>
      </c>
      <c r="O96" s="407">
        <f>25%*O95</f>
        <v>1430.25</v>
      </c>
      <c r="P96" s="408">
        <f>25%*P95</f>
        <v>10000</v>
      </c>
      <c r="Q96" s="408"/>
      <c r="R96" s="505"/>
      <c r="S96" s="505"/>
      <c r="T96" s="505"/>
      <c r="U96" s="505"/>
      <c r="V96" s="505"/>
      <c r="W96" s="505"/>
      <c r="X96" s="502"/>
      <c r="Y96" s="603"/>
      <c r="Z96" s="597"/>
      <c r="AA96" s="602"/>
      <c r="AB96" s="654">
        <f t="shared" si="37"/>
        <v>0</v>
      </c>
      <c r="AC96" s="617"/>
      <c r="AD96" s="400"/>
      <c r="AE96" s="397"/>
      <c r="AF96" s="654">
        <f t="shared" si="38"/>
        <v>0</v>
      </c>
      <c r="AG96" s="617"/>
      <c r="AH96" s="400"/>
      <c r="AI96" s="397"/>
      <c r="AK96" s="611"/>
      <c r="AL96" s="612"/>
      <c r="AM96" s="613"/>
    </row>
    <row r="97" spans="1:39" ht="66" customHeight="1">
      <c r="A97" s="506"/>
      <c r="B97" s="497"/>
      <c r="C97" s="497"/>
      <c r="D97" s="497"/>
      <c r="E97" s="529" t="s">
        <v>634</v>
      </c>
      <c r="F97" s="1079"/>
      <c r="G97" s="1079"/>
      <c r="H97" s="667"/>
      <c r="I97" s="403"/>
      <c r="J97" s="404"/>
      <c r="K97" s="403"/>
      <c r="L97" s="390" t="s">
        <v>365</v>
      </c>
      <c r="M97" s="390" t="s">
        <v>229</v>
      </c>
      <c r="N97" s="416" t="s">
        <v>435</v>
      </c>
      <c r="O97" s="407">
        <f>25%*O95</f>
        <v>1430.25</v>
      </c>
      <c r="P97" s="408">
        <f>25%*P95</f>
        <v>10000</v>
      </c>
      <c r="Q97" s="408"/>
      <c r="R97" s="505"/>
      <c r="S97" s="505"/>
      <c r="T97" s="505"/>
      <c r="U97" s="505"/>
      <c r="V97" s="505"/>
      <c r="W97" s="505"/>
      <c r="X97" s="502"/>
      <c r="Y97" s="603"/>
      <c r="Z97" s="597"/>
      <c r="AA97" s="602"/>
      <c r="AB97" s="654">
        <f t="shared" si="37"/>
        <v>0</v>
      </c>
      <c r="AC97" s="617"/>
      <c r="AD97" s="400"/>
      <c r="AE97" s="397"/>
      <c r="AF97" s="654">
        <f t="shared" si="38"/>
        <v>0</v>
      </c>
      <c r="AG97" s="617"/>
      <c r="AH97" s="400"/>
      <c r="AI97" s="397"/>
      <c r="AK97" s="611"/>
      <c r="AL97" s="612"/>
      <c r="AM97" s="613"/>
    </row>
    <row r="98" spans="1:39" ht="43.15" customHeight="1">
      <c r="A98" s="496">
        <v>24</v>
      </c>
      <c r="B98" s="497"/>
      <c r="C98" s="497" t="s">
        <v>567</v>
      </c>
      <c r="D98" s="497"/>
      <c r="E98" s="528" t="s">
        <v>581</v>
      </c>
      <c r="F98" s="1078"/>
      <c r="G98" s="1078"/>
      <c r="H98" s="668" t="s">
        <v>679</v>
      </c>
      <c r="I98" s="403" t="s">
        <v>607</v>
      </c>
      <c r="J98" s="404" t="s">
        <v>604</v>
      </c>
      <c r="K98" s="403" t="s">
        <v>541</v>
      </c>
      <c r="L98" s="390" t="s">
        <v>365</v>
      </c>
      <c r="M98" s="390" t="s">
        <v>229</v>
      </c>
      <c r="N98" s="416" t="s">
        <v>362</v>
      </c>
      <c r="O98" s="706" t="s">
        <v>515</v>
      </c>
      <c r="P98" s="408"/>
      <c r="Q98" s="408"/>
      <c r="R98" s="505"/>
      <c r="S98" s="505"/>
      <c r="T98" s="505"/>
      <c r="U98" s="505"/>
      <c r="V98" s="505"/>
      <c r="W98" s="505"/>
      <c r="X98" s="502"/>
      <c r="Y98" s="603"/>
      <c r="Z98" s="597"/>
      <c r="AA98" s="602"/>
      <c r="AB98" s="654">
        <f t="shared" si="37"/>
        <v>0</v>
      </c>
      <c r="AC98" s="617"/>
      <c r="AD98" s="400">
        <f>IF(AB98,AC98/AB98,0)</f>
        <v>0</v>
      </c>
      <c r="AE98" s="397"/>
      <c r="AF98" s="654">
        <f t="shared" si="38"/>
        <v>0</v>
      </c>
      <c r="AG98" s="617"/>
      <c r="AH98" s="400" t="e">
        <f t="shared" si="34"/>
        <v>#DIV/0!</v>
      </c>
      <c r="AI98" s="397"/>
      <c r="AK98" s="611"/>
      <c r="AL98" s="612"/>
      <c r="AM98" s="613"/>
    </row>
    <row r="99" spans="1:39" ht="43.15" customHeight="1">
      <c r="A99" s="506"/>
      <c r="B99" s="497"/>
      <c r="C99" s="497"/>
      <c r="D99" s="497"/>
      <c r="E99" s="529" t="s">
        <v>635</v>
      </c>
      <c r="F99" s="1079"/>
      <c r="G99" s="1079"/>
      <c r="H99" s="667" t="s">
        <v>570</v>
      </c>
      <c r="I99" s="403"/>
      <c r="J99" s="404"/>
      <c r="K99" s="403"/>
      <c r="L99" s="390" t="s">
        <v>365</v>
      </c>
      <c r="M99" s="390" t="s">
        <v>229</v>
      </c>
      <c r="N99" s="416" t="s">
        <v>435</v>
      </c>
      <c r="O99" s="706" t="s">
        <v>515</v>
      </c>
      <c r="P99" s="519" t="s">
        <v>568</v>
      </c>
      <c r="Q99" s="519"/>
      <c r="R99" s="505"/>
      <c r="S99" s="505"/>
      <c r="T99" s="505"/>
      <c r="U99" s="505"/>
      <c r="V99" s="505"/>
      <c r="W99" s="505"/>
      <c r="X99" s="502"/>
      <c r="Y99" s="603"/>
      <c r="Z99" s="597"/>
      <c r="AA99" s="602"/>
      <c r="AB99" s="654">
        <f t="shared" si="37"/>
        <v>0</v>
      </c>
      <c r="AC99" s="617"/>
      <c r="AD99" s="400"/>
      <c r="AE99" s="397"/>
      <c r="AF99" s="654">
        <f t="shared" si="38"/>
        <v>0</v>
      </c>
      <c r="AG99" s="617"/>
      <c r="AH99" s="400"/>
      <c r="AI99" s="397"/>
      <c r="AK99" s="611"/>
      <c r="AL99" s="612"/>
      <c r="AM99" s="613"/>
    </row>
    <row r="100" spans="1:39" ht="43.15" customHeight="1">
      <c r="A100" s="506"/>
      <c r="B100" s="497"/>
      <c r="C100" s="497"/>
      <c r="D100" s="497"/>
      <c r="E100" s="529" t="s">
        <v>636</v>
      </c>
      <c r="F100" s="1079"/>
      <c r="G100" s="1079"/>
      <c r="H100" s="667" t="s">
        <v>570</v>
      </c>
      <c r="I100" s="403"/>
      <c r="J100" s="404"/>
      <c r="K100" s="403"/>
      <c r="L100" s="390" t="s">
        <v>365</v>
      </c>
      <c r="M100" s="390" t="s">
        <v>229</v>
      </c>
      <c r="N100" s="416" t="s">
        <v>362</v>
      </c>
      <c r="O100" s="706" t="s">
        <v>515</v>
      </c>
      <c r="P100" s="519" t="s">
        <v>568</v>
      </c>
      <c r="Q100" s="519"/>
      <c r="R100" s="505"/>
      <c r="S100" s="505"/>
      <c r="T100" s="505"/>
      <c r="U100" s="505"/>
      <c r="V100" s="505"/>
      <c r="W100" s="505"/>
      <c r="X100" s="502"/>
      <c r="Y100" s="603"/>
      <c r="Z100" s="597"/>
      <c r="AA100" s="602"/>
      <c r="AB100" s="654">
        <f t="shared" si="37"/>
        <v>0</v>
      </c>
      <c r="AC100" s="617"/>
      <c r="AD100" s="400"/>
      <c r="AE100" s="397"/>
      <c r="AF100" s="654">
        <f t="shared" si="38"/>
        <v>0</v>
      </c>
      <c r="AG100" s="617"/>
      <c r="AH100" s="400"/>
      <c r="AI100" s="397"/>
      <c r="AK100" s="611"/>
      <c r="AL100" s="612"/>
      <c r="AM100" s="613"/>
    </row>
    <row r="101" spans="1:39" s="550" customFormat="1" ht="35.1" customHeight="1">
      <c r="A101" s="573"/>
      <c r="B101" s="551"/>
      <c r="C101" s="551"/>
      <c r="D101" s="551"/>
      <c r="E101" s="561" t="s">
        <v>542</v>
      </c>
      <c r="F101" s="1081"/>
      <c r="G101" s="1081"/>
      <c r="H101" s="552"/>
      <c r="I101" s="553"/>
      <c r="J101" s="554"/>
      <c r="K101" s="553"/>
      <c r="L101" s="555"/>
      <c r="M101" s="555"/>
      <c r="N101" s="556"/>
      <c r="O101" s="557"/>
      <c r="P101" s="558"/>
      <c r="Q101" s="558"/>
      <c r="R101" s="614"/>
      <c r="S101" s="614"/>
      <c r="T101" s="614"/>
      <c r="U101" s="614"/>
      <c r="V101" s="614"/>
      <c r="W101" s="614"/>
      <c r="X101" s="615"/>
      <c r="Y101" s="662"/>
      <c r="Z101" s="664"/>
      <c r="AA101" s="665"/>
      <c r="AB101" s="627"/>
      <c r="AC101" s="628"/>
      <c r="AD101" s="629"/>
      <c r="AE101" s="552"/>
      <c r="AF101" s="627"/>
      <c r="AG101" s="628"/>
      <c r="AH101" s="629"/>
      <c r="AI101" s="552"/>
      <c r="AK101" s="611"/>
      <c r="AL101" s="612"/>
      <c r="AM101" s="613"/>
    </row>
    <row r="102" spans="1:39" s="550" customFormat="1" ht="35.1" customHeight="1">
      <c r="A102" s="573"/>
      <c r="B102" s="542"/>
      <c r="C102" s="542"/>
      <c r="D102" s="542"/>
      <c r="E102" s="518" t="s">
        <v>543</v>
      </c>
      <c r="F102" s="1077"/>
      <c r="G102" s="1077"/>
      <c r="H102" s="543"/>
      <c r="I102" s="544"/>
      <c r="J102" s="545"/>
      <c r="K102" s="544"/>
      <c r="L102" s="546"/>
      <c r="M102" s="546"/>
      <c r="N102" s="547"/>
      <c r="O102" s="548"/>
      <c r="P102" s="549"/>
      <c r="Q102" s="549"/>
      <c r="R102" s="406"/>
      <c r="S102" s="406"/>
      <c r="T102" s="406"/>
      <c r="U102" s="406"/>
      <c r="V102" s="406"/>
      <c r="W102" s="406"/>
      <c r="X102" s="409"/>
      <c r="Y102" s="622"/>
      <c r="Z102" s="623"/>
      <c r="AA102" s="624"/>
      <c r="AB102" s="625"/>
      <c r="AC102" s="617"/>
      <c r="AD102" s="626"/>
      <c r="AE102" s="543"/>
      <c r="AF102" s="625"/>
      <c r="AG102" s="617"/>
      <c r="AH102" s="626"/>
      <c r="AI102" s="543"/>
      <c r="AK102" s="611"/>
      <c r="AL102" s="612"/>
      <c r="AM102" s="613"/>
    </row>
    <row r="103" spans="1:39" ht="43.15" customHeight="1">
      <c r="A103" s="496">
        <v>25</v>
      </c>
      <c r="B103" s="497"/>
      <c r="C103" s="497" t="s">
        <v>571</v>
      </c>
      <c r="D103" s="497"/>
      <c r="E103" s="528" t="s">
        <v>613</v>
      </c>
      <c r="F103" s="1078"/>
      <c r="G103" s="1078"/>
      <c r="H103" s="668" t="s">
        <v>679</v>
      </c>
      <c r="I103" s="403" t="s">
        <v>607</v>
      </c>
      <c r="J103" s="404" t="s">
        <v>604</v>
      </c>
      <c r="K103" s="403" t="s">
        <v>538</v>
      </c>
      <c r="L103" s="390" t="s">
        <v>365</v>
      </c>
      <c r="M103" s="390" t="s">
        <v>229</v>
      </c>
      <c r="N103" s="416"/>
      <c r="O103" s="706" t="s">
        <v>515</v>
      </c>
      <c r="P103" s="408"/>
      <c r="Q103" s="408"/>
      <c r="R103" s="505"/>
      <c r="S103" s="505"/>
      <c r="T103" s="505"/>
      <c r="U103" s="505"/>
      <c r="V103" s="505"/>
      <c r="W103" s="505"/>
      <c r="X103" s="502"/>
      <c r="Y103" s="603"/>
      <c r="Z103" s="597"/>
      <c r="AA103" s="602"/>
      <c r="AB103" s="654">
        <f t="shared" ref="AB103:AB119" si="39">T103/2</f>
        <v>0</v>
      </c>
      <c r="AC103" s="617"/>
      <c r="AD103" s="400">
        <f>IF(AB103,AC103/AB103,0)</f>
        <v>0</v>
      </c>
      <c r="AE103" s="397"/>
      <c r="AF103" s="654">
        <f t="shared" ref="AF103:AF119" si="40">T103/2</f>
        <v>0</v>
      </c>
      <c r="AG103" s="617"/>
      <c r="AH103" s="400" t="e">
        <f t="shared" si="34"/>
        <v>#DIV/0!</v>
      </c>
      <c r="AI103" s="397"/>
      <c r="AK103" s="611"/>
      <c r="AL103" s="612"/>
      <c r="AM103" s="613"/>
    </row>
    <row r="104" spans="1:39" ht="43.15" customHeight="1">
      <c r="A104" s="506"/>
      <c r="B104" s="497"/>
      <c r="C104" s="497"/>
      <c r="D104" s="497"/>
      <c r="E104" s="503" t="s">
        <v>572</v>
      </c>
      <c r="F104" s="1089"/>
      <c r="G104" s="1089"/>
      <c r="H104" s="667" t="s">
        <v>570</v>
      </c>
      <c r="I104" s="403"/>
      <c r="J104" s="404"/>
      <c r="K104" s="403"/>
      <c r="L104" s="390" t="s">
        <v>365</v>
      </c>
      <c r="M104" s="390" t="s">
        <v>229</v>
      </c>
      <c r="N104" s="416" t="s">
        <v>435</v>
      </c>
      <c r="O104" s="706" t="s">
        <v>515</v>
      </c>
      <c r="P104" s="519" t="s">
        <v>568</v>
      </c>
      <c r="Q104" s="519"/>
      <c r="R104" s="505"/>
      <c r="S104" s="505"/>
      <c r="T104" s="505"/>
      <c r="U104" s="505"/>
      <c r="V104" s="505"/>
      <c r="W104" s="505"/>
      <c r="X104" s="502"/>
      <c r="Y104" s="603"/>
      <c r="Z104" s="597"/>
      <c r="AA104" s="602"/>
      <c r="AB104" s="654">
        <f t="shared" si="39"/>
        <v>0</v>
      </c>
      <c r="AC104" s="617"/>
      <c r="AD104" s="400"/>
      <c r="AE104" s="397"/>
      <c r="AF104" s="654">
        <f t="shared" si="40"/>
        <v>0</v>
      </c>
      <c r="AG104" s="617"/>
      <c r="AH104" s="400"/>
      <c r="AI104" s="397"/>
      <c r="AK104" s="611"/>
      <c r="AL104" s="612"/>
      <c r="AM104" s="613"/>
    </row>
    <row r="105" spans="1:39" ht="43.15" customHeight="1">
      <c r="A105" s="506"/>
      <c r="B105" s="497"/>
      <c r="C105" s="497"/>
      <c r="D105" s="497"/>
      <c r="E105" s="503" t="s">
        <v>573</v>
      </c>
      <c r="F105" s="1089"/>
      <c r="G105" s="1089"/>
      <c r="H105" s="667" t="s">
        <v>570</v>
      </c>
      <c r="I105" s="403"/>
      <c r="J105" s="404"/>
      <c r="K105" s="403"/>
      <c r="L105" s="390" t="s">
        <v>365</v>
      </c>
      <c r="M105" s="390" t="s">
        <v>229</v>
      </c>
      <c r="N105" s="416" t="s">
        <v>362</v>
      </c>
      <c r="O105" s="706" t="s">
        <v>515</v>
      </c>
      <c r="P105" s="519" t="s">
        <v>568</v>
      </c>
      <c r="Q105" s="519"/>
      <c r="R105" s="505"/>
      <c r="S105" s="505"/>
      <c r="T105" s="505"/>
      <c r="U105" s="505"/>
      <c r="V105" s="505"/>
      <c r="W105" s="505"/>
      <c r="X105" s="502"/>
      <c r="Y105" s="603"/>
      <c r="Z105" s="597"/>
      <c r="AA105" s="602"/>
      <c r="AB105" s="654">
        <f t="shared" si="39"/>
        <v>0</v>
      </c>
      <c r="AC105" s="617"/>
      <c r="AD105" s="400"/>
      <c r="AE105" s="397"/>
      <c r="AF105" s="654">
        <f t="shared" si="40"/>
        <v>0</v>
      </c>
      <c r="AG105" s="617"/>
      <c r="AH105" s="400"/>
      <c r="AI105" s="397"/>
      <c r="AK105" s="611"/>
      <c r="AL105" s="612"/>
      <c r="AM105" s="613"/>
    </row>
    <row r="106" spans="1:39" ht="137.25" customHeight="1">
      <c r="A106" s="496">
        <v>26</v>
      </c>
      <c r="B106" s="497"/>
      <c r="C106" s="497" t="s">
        <v>574</v>
      </c>
      <c r="D106" s="497"/>
      <c r="E106" s="528" t="s">
        <v>569</v>
      </c>
      <c r="F106" s="1078"/>
      <c r="G106" s="1078"/>
      <c r="H106" s="668" t="s">
        <v>679</v>
      </c>
      <c r="I106" s="403" t="s">
        <v>607</v>
      </c>
      <c r="J106" s="404" t="s">
        <v>604</v>
      </c>
      <c r="K106" s="403" t="s">
        <v>544</v>
      </c>
      <c r="L106" s="390"/>
      <c r="M106" s="390"/>
      <c r="N106" s="416"/>
      <c r="O106" s="407"/>
      <c r="P106" s="408"/>
      <c r="Q106" s="408"/>
      <c r="R106" s="505"/>
      <c r="S106" s="505"/>
      <c r="T106" s="505"/>
      <c r="U106" s="505"/>
      <c r="V106" s="505"/>
      <c r="W106" s="505"/>
      <c r="X106" s="502"/>
      <c r="Y106" s="603"/>
      <c r="Z106" s="597"/>
      <c r="AA106" s="602"/>
      <c r="AB106" s="654">
        <f t="shared" si="39"/>
        <v>0</v>
      </c>
      <c r="AC106" s="617"/>
      <c r="AD106" s="400">
        <f>IF(AB106,AC106/AB106,0)</f>
        <v>0</v>
      </c>
      <c r="AE106" s="397"/>
      <c r="AF106" s="654">
        <f t="shared" si="40"/>
        <v>0</v>
      </c>
      <c r="AG106" s="617"/>
      <c r="AH106" s="400" t="e">
        <f t="shared" si="34"/>
        <v>#DIV/0!</v>
      </c>
      <c r="AI106" s="397"/>
      <c r="AK106" s="611"/>
      <c r="AL106" s="612"/>
      <c r="AM106" s="613"/>
    </row>
    <row r="107" spans="1:39" ht="52.5" customHeight="1">
      <c r="A107" s="506"/>
      <c r="B107" s="497"/>
      <c r="C107" s="497"/>
      <c r="D107" s="497"/>
      <c r="E107" s="529" t="s">
        <v>654</v>
      </c>
      <c r="F107" s="1079"/>
      <c r="G107" s="1079"/>
      <c r="H107" s="667"/>
      <c r="I107" s="403"/>
      <c r="J107" s="404"/>
      <c r="K107" s="403"/>
      <c r="L107" s="390" t="s">
        <v>365</v>
      </c>
      <c r="M107" s="390" t="s">
        <v>229</v>
      </c>
      <c r="N107" s="416" t="s">
        <v>435</v>
      </c>
      <c r="O107" s="706" t="s">
        <v>515</v>
      </c>
      <c r="P107" s="408">
        <f>16000/2</f>
        <v>8000</v>
      </c>
      <c r="Q107" s="408"/>
      <c r="R107" s="505"/>
      <c r="S107" s="505"/>
      <c r="T107" s="505"/>
      <c r="U107" s="505"/>
      <c r="V107" s="505"/>
      <c r="W107" s="505"/>
      <c r="X107" s="502"/>
      <c r="Y107" s="603"/>
      <c r="Z107" s="597"/>
      <c r="AA107" s="602"/>
      <c r="AB107" s="654">
        <f t="shared" si="39"/>
        <v>0</v>
      </c>
      <c r="AC107" s="617"/>
      <c r="AD107" s="400"/>
      <c r="AE107" s="397"/>
      <c r="AF107" s="654">
        <f t="shared" si="40"/>
        <v>0</v>
      </c>
      <c r="AG107" s="617"/>
      <c r="AH107" s="400"/>
      <c r="AI107" s="397"/>
      <c r="AK107" s="611"/>
      <c r="AL107" s="612"/>
      <c r="AM107" s="613"/>
    </row>
    <row r="108" spans="1:39" ht="54" customHeight="1">
      <c r="A108" s="506"/>
      <c r="B108" s="497"/>
      <c r="C108" s="497"/>
      <c r="D108" s="497"/>
      <c r="E108" s="529" t="s">
        <v>655</v>
      </c>
      <c r="F108" s="1079"/>
      <c r="G108" s="1079"/>
      <c r="H108" s="667"/>
      <c r="I108" s="403"/>
      <c r="J108" s="404"/>
      <c r="K108" s="403"/>
      <c r="L108" s="390" t="s">
        <v>365</v>
      </c>
      <c r="M108" s="390" t="s">
        <v>229</v>
      </c>
      <c r="N108" s="416" t="s">
        <v>435</v>
      </c>
      <c r="O108" s="706" t="s">
        <v>515</v>
      </c>
      <c r="P108" s="408">
        <f>16000/2</f>
        <v>8000</v>
      </c>
      <c r="Q108" s="408"/>
      <c r="R108" s="505"/>
      <c r="S108" s="505"/>
      <c r="T108" s="505"/>
      <c r="U108" s="505"/>
      <c r="V108" s="505"/>
      <c r="W108" s="505"/>
      <c r="X108" s="502"/>
      <c r="Y108" s="603"/>
      <c r="Z108" s="597"/>
      <c r="AA108" s="602"/>
      <c r="AB108" s="654">
        <f t="shared" si="39"/>
        <v>0</v>
      </c>
      <c r="AC108" s="617"/>
      <c r="AD108" s="400"/>
      <c r="AE108" s="397"/>
      <c r="AF108" s="654">
        <f t="shared" si="40"/>
        <v>0</v>
      </c>
      <c r="AG108" s="617"/>
      <c r="AH108" s="400"/>
      <c r="AI108" s="397"/>
      <c r="AK108" s="611"/>
      <c r="AL108" s="612"/>
      <c r="AM108" s="613"/>
    </row>
    <row r="109" spans="1:39" ht="35.1" customHeight="1">
      <c r="A109" s="506"/>
      <c r="B109" s="497"/>
      <c r="C109" s="497"/>
      <c r="D109" s="497"/>
      <c r="E109" s="529" t="s">
        <v>640</v>
      </c>
      <c r="F109" s="1079"/>
      <c r="G109" s="1079"/>
      <c r="H109" s="667"/>
      <c r="I109" s="403"/>
      <c r="J109" s="404"/>
      <c r="K109" s="403"/>
      <c r="L109" s="390" t="s">
        <v>365</v>
      </c>
      <c r="M109" s="390" t="s">
        <v>229</v>
      </c>
      <c r="N109" s="416" t="s">
        <v>362</v>
      </c>
      <c r="O109" s="706" t="s">
        <v>515</v>
      </c>
      <c r="P109" s="408">
        <v>54</v>
      </c>
      <c r="Q109" s="408"/>
      <c r="R109" s="505"/>
      <c r="S109" s="505"/>
      <c r="T109" s="505"/>
      <c r="U109" s="505"/>
      <c r="V109" s="505"/>
      <c r="W109" s="505"/>
      <c r="X109" s="502"/>
      <c r="Y109" s="603"/>
      <c r="Z109" s="597"/>
      <c r="AA109" s="602"/>
      <c r="AB109" s="654">
        <f t="shared" si="39"/>
        <v>0</v>
      </c>
      <c r="AC109" s="617"/>
      <c r="AD109" s="400"/>
      <c r="AE109" s="397"/>
      <c r="AF109" s="654">
        <f t="shared" si="40"/>
        <v>0</v>
      </c>
      <c r="AG109" s="617"/>
      <c r="AH109" s="400"/>
      <c r="AI109" s="397"/>
      <c r="AK109" s="611"/>
      <c r="AL109" s="612"/>
      <c r="AM109" s="613"/>
    </row>
    <row r="110" spans="1:39" ht="35.1" customHeight="1">
      <c r="A110" s="506"/>
      <c r="B110" s="497"/>
      <c r="C110" s="497"/>
      <c r="D110" s="497"/>
      <c r="E110" s="529" t="s">
        <v>641</v>
      </c>
      <c r="F110" s="1079"/>
      <c r="G110" s="1079"/>
      <c r="H110" s="667"/>
      <c r="I110" s="403"/>
      <c r="J110" s="404"/>
      <c r="K110" s="403"/>
      <c r="L110" s="390" t="s">
        <v>365</v>
      </c>
      <c r="M110" s="390" t="s">
        <v>229</v>
      </c>
      <c r="N110" s="416" t="s">
        <v>362</v>
      </c>
      <c r="O110" s="706" t="s">
        <v>515</v>
      </c>
      <c r="P110" s="408">
        <v>47</v>
      </c>
      <c r="Q110" s="408"/>
      <c r="R110" s="505"/>
      <c r="S110" s="505"/>
      <c r="T110" s="505"/>
      <c r="U110" s="505"/>
      <c r="V110" s="505"/>
      <c r="W110" s="505"/>
      <c r="X110" s="502"/>
      <c r="Y110" s="603"/>
      <c r="Z110" s="597"/>
      <c r="AA110" s="602"/>
      <c r="AB110" s="654">
        <f t="shared" si="39"/>
        <v>0</v>
      </c>
      <c r="AC110" s="617"/>
      <c r="AD110" s="400"/>
      <c r="AE110" s="397"/>
      <c r="AF110" s="654">
        <f t="shared" si="40"/>
        <v>0</v>
      </c>
      <c r="AG110" s="617"/>
      <c r="AH110" s="400"/>
      <c r="AI110" s="397"/>
      <c r="AK110" s="611"/>
      <c r="AL110" s="612"/>
      <c r="AM110" s="613"/>
    </row>
    <row r="111" spans="1:39" ht="35.1" customHeight="1">
      <c r="A111" s="506"/>
      <c r="B111" s="497"/>
      <c r="C111" s="497"/>
      <c r="D111" s="497"/>
      <c r="E111" s="529" t="s">
        <v>642</v>
      </c>
      <c r="F111" s="1079"/>
      <c r="G111" s="1079"/>
      <c r="H111" s="667"/>
      <c r="I111" s="403"/>
      <c r="J111" s="404"/>
      <c r="K111" s="403"/>
      <c r="L111" s="390" t="s">
        <v>365</v>
      </c>
      <c r="M111" s="390" t="s">
        <v>229</v>
      </c>
      <c r="N111" s="416" t="s">
        <v>362</v>
      </c>
      <c r="O111" s="706" t="s">
        <v>515</v>
      </c>
      <c r="P111" s="408">
        <v>48</v>
      </c>
      <c r="Q111" s="408"/>
      <c r="R111" s="505"/>
      <c r="S111" s="505"/>
      <c r="T111" s="505"/>
      <c r="U111" s="505"/>
      <c r="V111" s="505"/>
      <c r="W111" s="505"/>
      <c r="X111" s="502"/>
      <c r="Y111" s="603"/>
      <c r="Z111" s="597"/>
      <c r="AA111" s="602"/>
      <c r="AB111" s="654">
        <f t="shared" si="39"/>
        <v>0</v>
      </c>
      <c r="AC111" s="617"/>
      <c r="AD111" s="400"/>
      <c r="AE111" s="397"/>
      <c r="AF111" s="654">
        <f t="shared" si="40"/>
        <v>0</v>
      </c>
      <c r="AG111" s="617"/>
      <c r="AH111" s="400"/>
      <c r="AI111" s="397"/>
      <c r="AK111" s="611"/>
      <c r="AL111" s="612"/>
      <c r="AM111" s="613"/>
    </row>
    <row r="112" spans="1:39" ht="35.1" customHeight="1">
      <c r="A112" s="506"/>
      <c r="B112" s="497"/>
      <c r="C112" s="497"/>
      <c r="D112" s="497"/>
      <c r="E112" s="529" t="s">
        <v>643</v>
      </c>
      <c r="F112" s="1079"/>
      <c r="G112" s="1079"/>
      <c r="H112" s="667"/>
      <c r="I112" s="403"/>
      <c r="J112" s="404"/>
      <c r="K112" s="403"/>
      <c r="L112" s="390" t="s">
        <v>365</v>
      </c>
      <c r="M112" s="390" t="s">
        <v>229</v>
      </c>
      <c r="N112" s="416" t="s">
        <v>362</v>
      </c>
      <c r="O112" s="706" t="s">
        <v>515</v>
      </c>
      <c r="P112" s="408">
        <v>30</v>
      </c>
      <c r="Q112" s="408"/>
      <c r="R112" s="505"/>
      <c r="S112" s="505"/>
      <c r="T112" s="505"/>
      <c r="U112" s="505"/>
      <c r="V112" s="505"/>
      <c r="W112" s="505"/>
      <c r="X112" s="502"/>
      <c r="Y112" s="603"/>
      <c r="Z112" s="597"/>
      <c r="AA112" s="602"/>
      <c r="AB112" s="654">
        <f t="shared" si="39"/>
        <v>0</v>
      </c>
      <c r="AC112" s="617"/>
      <c r="AD112" s="400"/>
      <c r="AE112" s="397"/>
      <c r="AF112" s="654">
        <f t="shared" si="40"/>
        <v>0</v>
      </c>
      <c r="AG112" s="617"/>
      <c r="AH112" s="400"/>
      <c r="AI112" s="397"/>
      <c r="AK112" s="611"/>
      <c r="AL112" s="612"/>
      <c r="AM112" s="613"/>
    </row>
    <row r="113" spans="1:39" ht="94.9" customHeight="1">
      <c r="A113" s="496">
        <v>27</v>
      </c>
      <c r="B113" s="497"/>
      <c r="C113" s="497"/>
      <c r="D113" s="497"/>
      <c r="E113" s="528" t="s">
        <v>575</v>
      </c>
      <c r="F113" s="1078"/>
      <c r="G113" s="1078"/>
      <c r="H113" s="668" t="s">
        <v>679</v>
      </c>
      <c r="I113" s="403" t="s">
        <v>607</v>
      </c>
      <c r="J113" s="404" t="s">
        <v>604</v>
      </c>
      <c r="K113" s="403" t="s">
        <v>545</v>
      </c>
      <c r="L113" s="390"/>
      <c r="M113" s="390"/>
      <c r="N113" s="416"/>
      <c r="O113" s="505"/>
      <c r="P113" s="408"/>
      <c r="Q113" s="408"/>
      <c r="R113" s="505"/>
      <c r="S113" s="505"/>
      <c r="T113" s="505"/>
      <c r="U113" s="505"/>
      <c r="V113" s="505"/>
      <c r="W113" s="505"/>
      <c r="X113" s="502"/>
      <c r="Y113" s="603"/>
      <c r="Z113" s="597"/>
      <c r="AA113" s="602"/>
      <c r="AB113" s="654">
        <f t="shared" si="39"/>
        <v>0</v>
      </c>
      <c r="AC113" s="617"/>
      <c r="AD113" s="400">
        <f>IF(AB113,AC113/AB113,0)</f>
        <v>0</v>
      </c>
      <c r="AE113" s="397"/>
      <c r="AF113" s="654">
        <f t="shared" si="40"/>
        <v>0</v>
      </c>
      <c r="AG113" s="617"/>
      <c r="AH113" s="400" t="e">
        <f t="shared" si="34"/>
        <v>#DIV/0!</v>
      </c>
      <c r="AI113" s="397"/>
      <c r="AK113" s="611"/>
      <c r="AL113" s="612"/>
      <c r="AM113" s="613"/>
    </row>
    <row r="114" spans="1:39" s="593" customFormat="1" ht="35.1" customHeight="1">
      <c r="A114" s="585"/>
      <c r="B114" s="529"/>
      <c r="C114" s="529"/>
      <c r="D114" s="529"/>
      <c r="E114" s="529" t="s">
        <v>644</v>
      </c>
      <c r="F114" s="1079"/>
      <c r="G114" s="1079"/>
      <c r="H114" s="667"/>
      <c r="I114" s="587"/>
      <c r="J114" s="587"/>
      <c r="K114" s="587"/>
      <c r="L114" s="588" t="s">
        <v>365</v>
      </c>
      <c r="M114" s="588" t="s">
        <v>229</v>
      </c>
      <c r="N114" s="589" t="s">
        <v>435</v>
      </c>
      <c r="O114" s="590">
        <v>0</v>
      </c>
      <c r="P114" s="591" t="s">
        <v>568</v>
      </c>
      <c r="Q114" s="591"/>
      <c r="R114" s="505"/>
      <c r="S114" s="505"/>
      <c r="T114" s="505"/>
      <c r="U114" s="505"/>
      <c r="V114" s="505"/>
      <c r="W114" s="505"/>
      <c r="X114" s="502"/>
      <c r="Y114" s="603"/>
      <c r="Z114" s="597"/>
      <c r="AA114" s="602"/>
      <c r="AB114" s="654">
        <f t="shared" si="39"/>
        <v>0</v>
      </c>
      <c r="AC114" s="617"/>
      <c r="AD114" s="592"/>
      <c r="AE114" s="586"/>
      <c r="AF114" s="654">
        <f t="shared" si="40"/>
        <v>0</v>
      </c>
      <c r="AG114" s="617"/>
      <c r="AH114" s="592"/>
      <c r="AI114" s="586"/>
      <c r="AK114" s="611"/>
      <c r="AL114" s="612"/>
      <c r="AM114" s="613"/>
    </row>
    <row r="115" spans="1:39" s="593" customFormat="1" ht="35.1" customHeight="1">
      <c r="A115" s="585"/>
      <c r="B115" s="529"/>
      <c r="C115" s="529"/>
      <c r="D115" s="529"/>
      <c r="E115" s="529" t="s">
        <v>645</v>
      </c>
      <c r="F115" s="1079"/>
      <c r="G115" s="1079"/>
      <c r="H115" s="667"/>
      <c r="I115" s="587"/>
      <c r="J115" s="587"/>
      <c r="K115" s="587"/>
      <c r="L115" s="588" t="s">
        <v>365</v>
      </c>
      <c r="M115" s="588" t="s">
        <v>229</v>
      </c>
      <c r="N115" s="589" t="s">
        <v>362</v>
      </c>
      <c r="O115" s="590">
        <v>0</v>
      </c>
      <c r="P115" s="591" t="s">
        <v>568</v>
      </c>
      <c r="Q115" s="591"/>
      <c r="R115" s="505"/>
      <c r="S115" s="505"/>
      <c r="T115" s="505"/>
      <c r="U115" s="505"/>
      <c r="V115" s="505"/>
      <c r="W115" s="505"/>
      <c r="X115" s="502"/>
      <c r="Y115" s="603"/>
      <c r="Z115" s="597"/>
      <c r="AA115" s="602"/>
      <c r="AB115" s="654">
        <f t="shared" si="39"/>
        <v>0</v>
      </c>
      <c r="AC115" s="617"/>
      <c r="AD115" s="592"/>
      <c r="AE115" s="586"/>
      <c r="AF115" s="654">
        <f t="shared" si="40"/>
        <v>0</v>
      </c>
      <c r="AG115" s="617"/>
      <c r="AH115" s="592"/>
      <c r="AI115" s="586"/>
      <c r="AK115" s="611"/>
      <c r="AL115" s="612"/>
      <c r="AM115" s="613"/>
    </row>
    <row r="116" spans="1:39" s="593" customFormat="1" ht="51" customHeight="1">
      <c r="A116" s="585"/>
      <c r="B116" s="529"/>
      <c r="C116" s="529"/>
      <c r="D116" s="529"/>
      <c r="E116" s="529" t="s">
        <v>646</v>
      </c>
      <c r="F116" s="1079"/>
      <c r="G116" s="1079"/>
      <c r="H116" s="667"/>
      <c r="I116" s="587"/>
      <c r="J116" s="587"/>
      <c r="K116" s="587"/>
      <c r="L116" s="588" t="s">
        <v>365</v>
      </c>
      <c r="M116" s="588" t="s">
        <v>229</v>
      </c>
      <c r="N116" s="589" t="s">
        <v>362</v>
      </c>
      <c r="O116" s="590">
        <v>0</v>
      </c>
      <c r="P116" s="594">
        <v>40</v>
      </c>
      <c r="Q116" s="594"/>
      <c r="R116" s="505"/>
      <c r="S116" s="505"/>
      <c r="T116" s="505"/>
      <c r="U116" s="505"/>
      <c r="V116" s="505"/>
      <c r="W116" s="505"/>
      <c r="X116" s="502"/>
      <c r="Y116" s="603"/>
      <c r="Z116" s="597"/>
      <c r="AA116" s="602"/>
      <c r="AB116" s="654">
        <f t="shared" si="39"/>
        <v>0</v>
      </c>
      <c r="AC116" s="617"/>
      <c r="AD116" s="592"/>
      <c r="AE116" s="586"/>
      <c r="AF116" s="654">
        <f t="shared" si="40"/>
        <v>0</v>
      </c>
      <c r="AG116" s="617"/>
      <c r="AH116" s="592"/>
      <c r="AI116" s="586"/>
      <c r="AK116" s="611"/>
      <c r="AL116" s="612"/>
      <c r="AM116" s="613"/>
    </row>
    <row r="117" spans="1:39" ht="81.599999999999994" customHeight="1">
      <c r="A117" s="496">
        <v>28</v>
      </c>
      <c r="B117" s="497"/>
      <c r="C117" s="497"/>
      <c r="D117" s="497"/>
      <c r="E117" s="528" t="s">
        <v>577</v>
      </c>
      <c r="F117" s="1078"/>
      <c r="G117" s="1078"/>
      <c r="H117" s="667" t="s">
        <v>578</v>
      </c>
      <c r="I117" s="403" t="s">
        <v>607</v>
      </c>
      <c r="J117" s="404" t="s">
        <v>604</v>
      </c>
      <c r="K117" s="403" t="s">
        <v>546</v>
      </c>
      <c r="L117" s="390"/>
      <c r="M117" s="390"/>
      <c r="N117" s="416"/>
      <c r="O117" s="706" t="s">
        <v>515</v>
      </c>
      <c r="P117" s="408"/>
      <c r="Q117" s="408"/>
      <c r="R117" s="505"/>
      <c r="S117" s="505"/>
      <c r="T117" s="505"/>
      <c r="U117" s="505"/>
      <c r="V117" s="505"/>
      <c r="W117" s="505"/>
      <c r="X117" s="502"/>
      <c r="Y117" s="603"/>
      <c r="Z117" s="597"/>
      <c r="AA117" s="602"/>
      <c r="AB117" s="654">
        <f t="shared" si="39"/>
        <v>0</v>
      </c>
      <c r="AC117" s="617"/>
      <c r="AD117" s="400">
        <f>IF(AB117,AC117/AB117,0)</f>
        <v>0</v>
      </c>
      <c r="AE117" s="397"/>
      <c r="AF117" s="654">
        <f t="shared" si="40"/>
        <v>0</v>
      </c>
      <c r="AG117" s="617"/>
      <c r="AH117" s="400" t="e">
        <f t="shared" si="34"/>
        <v>#DIV/0!</v>
      </c>
      <c r="AI117" s="397"/>
      <c r="AK117" s="611"/>
      <c r="AL117" s="612"/>
      <c r="AM117" s="613"/>
    </row>
    <row r="118" spans="1:39" s="541" customFormat="1" ht="45" customHeight="1">
      <c r="A118" s="575"/>
      <c r="B118" s="595"/>
      <c r="C118" s="595"/>
      <c r="D118" s="595"/>
      <c r="E118" s="529" t="s">
        <v>647</v>
      </c>
      <c r="F118" s="1079"/>
      <c r="G118" s="1079"/>
      <c r="H118" s="667"/>
      <c r="I118" s="538"/>
      <c r="J118" s="539"/>
      <c r="K118" s="538"/>
      <c r="L118" s="588" t="s">
        <v>365</v>
      </c>
      <c r="M118" s="588" t="s">
        <v>229</v>
      </c>
      <c r="N118" s="589" t="s">
        <v>435</v>
      </c>
      <c r="O118" s="706" t="s">
        <v>515</v>
      </c>
      <c r="P118" s="591" t="s">
        <v>568</v>
      </c>
      <c r="Q118" s="591"/>
      <c r="R118" s="505"/>
      <c r="S118" s="505"/>
      <c r="T118" s="505"/>
      <c r="U118" s="505"/>
      <c r="V118" s="505"/>
      <c r="W118" s="505"/>
      <c r="X118" s="502"/>
      <c r="Y118" s="603"/>
      <c r="Z118" s="597"/>
      <c r="AA118" s="602"/>
      <c r="AB118" s="654">
        <f t="shared" si="39"/>
        <v>0</v>
      </c>
      <c r="AC118" s="617"/>
      <c r="AD118" s="540"/>
      <c r="AE118" s="537"/>
      <c r="AF118" s="654">
        <f t="shared" si="40"/>
        <v>0</v>
      </c>
      <c r="AG118" s="617"/>
      <c r="AH118" s="540"/>
      <c r="AI118" s="537"/>
      <c r="AK118" s="611"/>
      <c r="AL118" s="612"/>
      <c r="AM118" s="613"/>
    </row>
    <row r="119" spans="1:39" s="541" customFormat="1" ht="53.25" customHeight="1">
      <c r="A119" s="575"/>
      <c r="B119" s="595"/>
      <c r="C119" s="595"/>
      <c r="D119" s="595"/>
      <c r="E119" s="529" t="s">
        <v>648</v>
      </c>
      <c r="F119" s="1079"/>
      <c r="G119" s="1079"/>
      <c r="H119" s="667"/>
      <c r="I119" s="538"/>
      <c r="J119" s="539"/>
      <c r="K119" s="538"/>
      <c r="L119" s="588" t="s">
        <v>365</v>
      </c>
      <c r="M119" s="588" t="s">
        <v>229</v>
      </c>
      <c r="N119" s="589" t="s">
        <v>435</v>
      </c>
      <c r="O119" s="706" t="s">
        <v>515</v>
      </c>
      <c r="P119" s="596">
        <v>8000</v>
      </c>
      <c r="Q119" s="596"/>
      <c r="R119" s="505"/>
      <c r="S119" s="505"/>
      <c r="T119" s="505"/>
      <c r="U119" s="505"/>
      <c r="V119" s="505"/>
      <c r="W119" s="505"/>
      <c r="X119" s="502"/>
      <c r="Y119" s="603"/>
      <c r="Z119" s="597"/>
      <c r="AA119" s="602"/>
      <c r="AB119" s="654">
        <f t="shared" si="39"/>
        <v>0</v>
      </c>
      <c r="AC119" s="617"/>
      <c r="AD119" s="540"/>
      <c r="AE119" s="537"/>
      <c r="AF119" s="654">
        <f t="shared" si="40"/>
        <v>0</v>
      </c>
      <c r="AG119" s="617"/>
      <c r="AH119" s="540"/>
      <c r="AI119" s="537"/>
      <c r="AK119" s="611"/>
      <c r="AL119" s="612"/>
      <c r="AM119" s="613"/>
    </row>
    <row r="120" spans="1:39" s="550" customFormat="1" ht="35.1" customHeight="1">
      <c r="A120" s="573"/>
      <c r="B120" s="542"/>
      <c r="C120" s="542"/>
      <c r="D120" s="542"/>
      <c r="E120" s="518" t="s">
        <v>547</v>
      </c>
      <c r="F120" s="1077"/>
      <c r="G120" s="1077"/>
      <c r="H120" s="543"/>
      <c r="I120" s="544"/>
      <c r="J120" s="545"/>
      <c r="K120" s="544"/>
      <c r="L120" s="546"/>
      <c r="M120" s="546"/>
      <c r="N120" s="547"/>
      <c r="O120" s="548"/>
      <c r="P120" s="549"/>
      <c r="Q120" s="549"/>
      <c r="R120" s="406"/>
      <c r="S120" s="406"/>
      <c r="T120" s="406"/>
      <c r="U120" s="406"/>
      <c r="V120" s="406"/>
      <c r="W120" s="406"/>
      <c r="X120" s="409"/>
      <c r="Y120" s="622"/>
      <c r="Z120" s="623"/>
      <c r="AA120" s="624"/>
      <c r="AB120" s="625"/>
      <c r="AC120" s="617"/>
      <c r="AD120" s="626"/>
      <c r="AE120" s="543"/>
      <c r="AF120" s="625"/>
      <c r="AG120" s="617"/>
      <c r="AH120" s="626"/>
      <c r="AI120" s="543"/>
      <c r="AK120" s="611"/>
      <c r="AL120" s="612"/>
      <c r="AM120" s="613"/>
    </row>
    <row r="121" spans="1:39" ht="43.15" customHeight="1">
      <c r="A121" s="496">
        <v>29</v>
      </c>
      <c r="B121" s="497"/>
      <c r="C121" s="497" t="s">
        <v>583</v>
      </c>
      <c r="D121" s="497"/>
      <c r="E121" s="528" t="s">
        <v>548</v>
      </c>
      <c r="F121" s="1078"/>
      <c r="G121" s="1078"/>
      <c r="H121" s="668" t="s">
        <v>679</v>
      </c>
      <c r="I121" s="403" t="s">
        <v>607</v>
      </c>
      <c r="J121" s="404"/>
      <c r="K121" s="403" t="s">
        <v>544</v>
      </c>
      <c r="L121" s="390" t="s">
        <v>365</v>
      </c>
      <c r="M121" s="390"/>
      <c r="N121" s="416"/>
      <c r="O121" s="706" t="s">
        <v>515</v>
      </c>
      <c r="P121" s="408"/>
      <c r="Q121" s="408"/>
      <c r="R121" s="505"/>
      <c r="S121" s="505"/>
      <c r="T121" s="505"/>
      <c r="U121" s="505"/>
      <c r="V121" s="505"/>
      <c r="W121" s="505"/>
      <c r="X121" s="502"/>
      <c r="Y121" s="603"/>
      <c r="Z121" s="597"/>
      <c r="AA121" s="602"/>
      <c r="AB121" s="654">
        <f>T121/2</f>
        <v>0</v>
      </c>
      <c r="AC121" s="617"/>
      <c r="AD121" s="400">
        <f>IF(AB121,AC121/AB121,0)</f>
        <v>0</v>
      </c>
      <c r="AE121" s="397"/>
      <c r="AF121" s="654">
        <f>T121/2</f>
        <v>0</v>
      </c>
      <c r="AG121" s="617"/>
      <c r="AH121" s="400" t="e">
        <f t="shared" si="34"/>
        <v>#DIV/0!</v>
      </c>
      <c r="AI121" s="397"/>
      <c r="AK121" s="611"/>
      <c r="AL121" s="612"/>
      <c r="AM121" s="613"/>
    </row>
    <row r="122" spans="1:39" ht="43.15" customHeight="1">
      <c r="A122" s="496"/>
      <c r="B122" s="497"/>
      <c r="C122" s="497"/>
      <c r="D122" s="497"/>
      <c r="E122" s="529" t="s">
        <v>592</v>
      </c>
      <c r="F122" s="1079"/>
      <c r="G122" s="1079"/>
      <c r="H122" s="667"/>
      <c r="I122" s="403"/>
      <c r="J122" s="404"/>
      <c r="K122" s="403"/>
      <c r="L122" s="390" t="s">
        <v>365</v>
      </c>
      <c r="M122" s="390" t="s">
        <v>229</v>
      </c>
      <c r="N122" s="416" t="s">
        <v>435</v>
      </c>
      <c r="O122" s="706" t="s">
        <v>515</v>
      </c>
      <c r="P122" s="408">
        <v>25</v>
      </c>
      <c r="Q122" s="408"/>
      <c r="R122" s="505"/>
      <c r="S122" s="505"/>
      <c r="T122" s="505"/>
      <c r="U122" s="505"/>
      <c r="V122" s="505"/>
      <c r="W122" s="505"/>
      <c r="X122" s="502"/>
      <c r="Y122" s="603"/>
      <c r="Z122" s="597"/>
      <c r="AA122" s="602"/>
      <c r="AB122" s="654">
        <f>T122/2</f>
        <v>0</v>
      </c>
      <c r="AC122" s="617"/>
      <c r="AD122" s="400"/>
      <c r="AE122" s="397"/>
      <c r="AF122" s="654">
        <f>T122/2</f>
        <v>0</v>
      </c>
      <c r="AG122" s="617"/>
      <c r="AH122" s="400"/>
      <c r="AI122" s="397"/>
      <c r="AK122" s="611"/>
      <c r="AL122" s="612"/>
      <c r="AM122" s="613"/>
    </row>
    <row r="123" spans="1:39" ht="43.15" customHeight="1">
      <c r="A123" s="496"/>
      <c r="B123" s="497"/>
      <c r="C123" s="497"/>
      <c r="D123" s="497"/>
      <c r="E123" s="529" t="s">
        <v>593</v>
      </c>
      <c r="F123" s="1079"/>
      <c r="G123" s="1079"/>
      <c r="H123" s="667"/>
      <c r="I123" s="403"/>
      <c r="J123" s="404"/>
      <c r="K123" s="403"/>
      <c r="L123" s="390" t="s">
        <v>365</v>
      </c>
      <c r="M123" s="390" t="s">
        <v>229</v>
      </c>
      <c r="N123" s="416" t="s">
        <v>435</v>
      </c>
      <c r="O123" s="706" t="s">
        <v>515</v>
      </c>
      <c r="P123" s="408">
        <v>20</v>
      </c>
      <c r="Q123" s="408"/>
      <c r="R123" s="505"/>
      <c r="S123" s="505"/>
      <c r="T123" s="505"/>
      <c r="U123" s="505"/>
      <c r="V123" s="505"/>
      <c r="W123" s="505"/>
      <c r="X123" s="502"/>
      <c r="Y123" s="603"/>
      <c r="Z123" s="597"/>
      <c r="AA123" s="602"/>
      <c r="AB123" s="654">
        <f>T123/2</f>
        <v>0</v>
      </c>
      <c r="AC123" s="617"/>
      <c r="AD123" s="400"/>
      <c r="AE123" s="397"/>
      <c r="AF123" s="654">
        <f>T123/2</f>
        <v>0</v>
      </c>
      <c r="AG123" s="617"/>
      <c r="AH123" s="400"/>
      <c r="AI123" s="397"/>
      <c r="AK123" s="611"/>
      <c r="AL123" s="612"/>
      <c r="AM123" s="613"/>
    </row>
    <row r="124" spans="1:39" s="550" customFormat="1" ht="35.1" customHeight="1">
      <c r="A124" s="573"/>
      <c r="B124" s="551"/>
      <c r="C124" s="551"/>
      <c r="D124" s="551"/>
      <c r="E124" s="561" t="s">
        <v>549</v>
      </c>
      <c r="F124" s="1081"/>
      <c r="G124" s="1081"/>
      <c r="H124" s="552"/>
      <c r="I124" s="553"/>
      <c r="J124" s="554"/>
      <c r="K124" s="553"/>
      <c r="L124" s="555"/>
      <c r="M124" s="555"/>
      <c r="N124" s="556"/>
      <c r="O124" s="557"/>
      <c r="P124" s="558"/>
      <c r="Q124" s="558"/>
      <c r="R124" s="614"/>
      <c r="S124" s="614"/>
      <c r="T124" s="614"/>
      <c r="U124" s="614"/>
      <c r="V124" s="614"/>
      <c r="W124" s="614"/>
      <c r="X124" s="615"/>
      <c r="Y124" s="662"/>
      <c r="Z124" s="664"/>
      <c r="AA124" s="665"/>
      <c r="AB124" s="627"/>
      <c r="AC124" s="628"/>
      <c r="AD124" s="629"/>
      <c r="AE124" s="552"/>
      <c r="AF124" s="627"/>
      <c r="AG124" s="628"/>
      <c r="AH124" s="629"/>
      <c r="AI124" s="552"/>
      <c r="AK124" s="611"/>
      <c r="AL124" s="612"/>
      <c r="AM124" s="613"/>
    </row>
    <row r="125" spans="1:39" s="550" customFormat="1" ht="35.1" customHeight="1">
      <c r="A125" s="573"/>
      <c r="B125" s="542"/>
      <c r="C125" s="542"/>
      <c r="D125" s="542"/>
      <c r="E125" s="518" t="s">
        <v>590</v>
      </c>
      <c r="F125" s="1077"/>
      <c r="G125" s="1077"/>
      <c r="H125" s="543"/>
      <c r="I125" s="544"/>
      <c r="J125" s="545"/>
      <c r="K125" s="544"/>
      <c r="L125" s="546"/>
      <c r="M125" s="546"/>
      <c r="N125" s="547"/>
      <c r="O125" s="548"/>
      <c r="P125" s="549"/>
      <c r="Q125" s="549"/>
      <c r="R125" s="406"/>
      <c r="S125" s="406"/>
      <c r="T125" s="406"/>
      <c r="U125" s="406"/>
      <c r="V125" s="406"/>
      <c r="W125" s="406"/>
      <c r="X125" s="409"/>
      <c r="Y125" s="622"/>
      <c r="Z125" s="623"/>
      <c r="AA125" s="624"/>
      <c r="AB125" s="625"/>
      <c r="AC125" s="617"/>
      <c r="AD125" s="626"/>
      <c r="AE125" s="543"/>
      <c r="AF125" s="625"/>
      <c r="AG125" s="617"/>
      <c r="AH125" s="626"/>
      <c r="AI125" s="543"/>
      <c r="AK125" s="611"/>
      <c r="AL125" s="612"/>
      <c r="AM125" s="613"/>
    </row>
    <row r="126" spans="1:39" ht="54.75" customHeight="1">
      <c r="A126" s="496">
        <v>30</v>
      </c>
      <c r="B126" s="497"/>
      <c r="C126" s="497" t="s">
        <v>584</v>
      </c>
      <c r="D126" s="497"/>
      <c r="E126" s="531" t="s">
        <v>597</v>
      </c>
      <c r="F126" s="1080"/>
      <c r="G126" s="1080"/>
      <c r="H126" s="668" t="s">
        <v>679</v>
      </c>
      <c r="I126" s="403" t="s">
        <v>607</v>
      </c>
      <c r="J126" s="404" t="s">
        <v>604</v>
      </c>
      <c r="K126" s="403" t="s">
        <v>550</v>
      </c>
      <c r="L126" s="390" t="s">
        <v>365</v>
      </c>
      <c r="M126" s="390" t="s">
        <v>229</v>
      </c>
      <c r="N126" s="416" t="s">
        <v>591</v>
      </c>
      <c r="O126" s="505">
        <v>0</v>
      </c>
      <c r="P126" s="408">
        <f>1*2*5</f>
        <v>10</v>
      </c>
      <c r="Q126" s="408"/>
      <c r="R126" s="505"/>
      <c r="S126" s="505"/>
      <c r="T126" s="505"/>
      <c r="U126" s="505"/>
      <c r="V126" s="505"/>
      <c r="W126" s="505"/>
      <c r="X126" s="502"/>
      <c r="Y126" s="603"/>
      <c r="Z126" s="597"/>
      <c r="AA126" s="602"/>
      <c r="AB126" s="654">
        <f t="shared" ref="AB126:AB131" si="41">T126/2</f>
        <v>0</v>
      </c>
      <c r="AC126" s="617"/>
      <c r="AD126" s="400">
        <f t="shared" ref="AD126:AD128" si="42">IF(AB126,AC126/AB126,0)</f>
        <v>0</v>
      </c>
      <c r="AE126" s="397"/>
      <c r="AF126" s="654">
        <f t="shared" ref="AF126:AF131" si="43">T126/2</f>
        <v>0</v>
      </c>
      <c r="AG126" s="617"/>
      <c r="AH126" s="400" t="e">
        <f t="shared" si="34"/>
        <v>#DIV/0!</v>
      </c>
      <c r="AI126" s="397"/>
      <c r="AK126" s="611"/>
      <c r="AL126" s="612"/>
      <c r="AM126" s="613"/>
    </row>
    <row r="127" spans="1:39" ht="108.75" customHeight="1">
      <c r="A127" s="496">
        <v>31</v>
      </c>
      <c r="B127" s="497"/>
      <c r="C127" s="497" t="s">
        <v>585</v>
      </c>
      <c r="D127" s="497"/>
      <c r="E127" s="531" t="s">
        <v>595</v>
      </c>
      <c r="F127" s="1080"/>
      <c r="G127" s="1080"/>
      <c r="H127" s="668" t="s">
        <v>679</v>
      </c>
      <c r="I127" s="403" t="s">
        <v>607</v>
      </c>
      <c r="J127" s="404" t="s">
        <v>604</v>
      </c>
      <c r="K127" s="403" t="s">
        <v>551</v>
      </c>
      <c r="L127" s="390" t="s">
        <v>365</v>
      </c>
      <c r="M127" s="390" t="s">
        <v>229</v>
      </c>
      <c r="N127" s="416" t="s">
        <v>594</v>
      </c>
      <c r="O127" s="706" t="s">
        <v>515</v>
      </c>
      <c r="P127" s="408">
        <f>1*2*5</f>
        <v>10</v>
      </c>
      <c r="Q127" s="408"/>
      <c r="R127" s="505"/>
      <c r="S127" s="505"/>
      <c r="T127" s="505"/>
      <c r="U127" s="505"/>
      <c r="V127" s="505"/>
      <c r="W127" s="505"/>
      <c r="X127" s="502"/>
      <c r="Y127" s="603"/>
      <c r="Z127" s="597"/>
      <c r="AA127" s="602"/>
      <c r="AB127" s="654">
        <f t="shared" si="41"/>
        <v>0</v>
      </c>
      <c r="AC127" s="617"/>
      <c r="AD127" s="400">
        <f t="shared" si="42"/>
        <v>0</v>
      </c>
      <c r="AE127" s="397"/>
      <c r="AF127" s="654">
        <f t="shared" si="43"/>
        <v>0</v>
      </c>
      <c r="AG127" s="617"/>
      <c r="AH127" s="400" t="e">
        <f t="shared" si="34"/>
        <v>#DIV/0!</v>
      </c>
      <c r="AI127" s="397"/>
      <c r="AK127" s="611"/>
      <c r="AL127" s="612"/>
      <c r="AM127" s="613"/>
    </row>
    <row r="128" spans="1:39" ht="76.5" customHeight="1">
      <c r="A128" s="496">
        <v>32</v>
      </c>
      <c r="B128" s="497"/>
      <c r="C128" s="497" t="s">
        <v>586</v>
      </c>
      <c r="D128" s="497"/>
      <c r="E128" s="528" t="s">
        <v>609</v>
      </c>
      <c r="F128" s="1078"/>
      <c r="G128" s="1078"/>
      <c r="H128" s="668" t="s">
        <v>679</v>
      </c>
      <c r="I128" s="403" t="s">
        <v>607</v>
      </c>
      <c r="J128" s="404" t="s">
        <v>604</v>
      </c>
      <c r="K128" s="403" t="s">
        <v>538</v>
      </c>
      <c r="L128" s="390" t="s">
        <v>365</v>
      </c>
      <c r="M128" s="390" t="s">
        <v>229</v>
      </c>
      <c r="N128" s="416"/>
      <c r="O128" s="505"/>
      <c r="P128" s="408"/>
      <c r="Q128" s="408"/>
      <c r="R128" s="505"/>
      <c r="S128" s="505"/>
      <c r="T128" s="505"/>
      <c r="U128" s="505"/>
      <c r="V128" s="505"/>
      <c r="W128" s="505"/>
      <c r="X128" s="502"/>
      <c r="Y128" s="603"/>
      <c r="Z128" s="597"/>
      <c r="AA128" s="602"/>
      <c r="AB128" s="654">
        <f t="shared" si="41"/>
        <v>0</v>
      </c>
      <c r="AC128" s="617"/>
      <c r="AD128" s="400">
        <f t="shared" si="42"/>
        <v>0</v>
      </c>
      <c r="AE128" s="397"/>
      <c r="AF128" s="654">
        <f t="shared" si="43"/>
        <v>0</v>
      </c>
      <c r="AG128" s="617"/>
      <c r="AH128" s="400" t="e">
        <f t="shared" si="34"/>
        <v>#DIV/0!</v>
      </c>
      <c r="AI128" s="397"/>
      <c r="AK128" s="611"/>
      <c r="AL128" s="612"/>
      <c r="AM128" s="613"/>
    </row>
    <row r="129" spans="1:39" ht="55.5" customHeight="1">
      <c r="A129" s="496"/>
      <c r="B129" s="497"/>
      <c r="C129" s="497"/>
      <c r="D129" s="497"/>
      <c r="E129" s="529" t="s">
        <v>598</v>
      </c>
      <c r="F129" s="1079"/>
      <c r="G129" s="1079"/>
      <c r="H129" s="667" t="s">
        <v>701</v>
      </c>
      <c r="I129" s="403"/>
      <c r="J129" s="404"/>
      <c r="K129" s="403"/>
      <c r="L129" s="390"/>
      <c r="M129" s="390"/>
      <c r="N129" s="416" t="s">
        <v>596</v>
      </c>
      <c r="O129" s="505">
        <v>0</v>
      </c>
      <c r="P129" s="408" t="s">
        <v>599</v>
      </c>
      <c r="Q129" s="408"/>
      <c r="R129" s="505"/>
      <c r="S129" s="505"/>
      <c r="T129" s="505"/>
      <c r="U129" s="505"/>
      <c r="V129" s="505"/>
      <c r="W129" s="505"/>
      <c r="X129" s="502"/>
      <c r="Y129" s="603"/>
      <c r="Z129" s="597"/>
      <c r="AA129" s="602"/>
      <c r="AB129" s="654">
        <f t="shared" si="41"/>
        <v>0</v>
      </c>
      <c r="AC129" s="617"/>
      <c r="AD129" s="400"/>
      <c r="AE129" s="397"/>
      <c r="AF129" s="654">
        <f t="shared" si="43"/>
        <v>0</v>
      </c>
      <c r="AG129" s="617"/>
      <c r="AH129" s="400"/>
      <c r="AI129" s="397"/>
      <c r="AK129" s="611"/>
      <c r="AL129" s="612"/>
      <c r="AM129" s="613"/>
    </row>
    <row r="130" spans="1:39" ht="58.5" customHeight="1">
      <c r="A130" s="496"/>
      <c r="B130" s="497"/>
      <c r="C130" s="497"/>
      <c r="D130" s="497"/>
      <c r="E130" s="529" t="s">
        <v>600</v>
      </c>
      <c r="F130" s="1079"/>
      <c r="G130" s="1079"/>
      <c r="H130" s="667" t="s">
        <v>701</v>
      </c>
      <c r="I130" s="403"/>
      <c r="J130" s="404"/>
      <c r="K130" s="403"/>
      <c r="L130" s="390"/>
      <c r="M130" s="390"/>
      <c r="N130" s="416" t="s">
        <v>134</v>
      </c>
      <c r="O130" s="505">
        <v>0</v>
      </c>
      <c r="P130" s="408" t="s">
        <v>599</v>
      </c>
      <c r="Q130" s="408"/>
      <c r="R130" s="505"/>
      <c r="S130" s="505"/>
      <c r="T130" s="505"/>
      <c r="U130" s="505"/>
      <c r="V130" s="505"/>
      <c r="W130" s="505"/>
      <c r="X130" s="502"/>
      <c r="Y130" s="603"/>
      <c r="Z130" s="597"/>
      <c r="AA130" s="602"/>
      <c r="AB130" s="654">
        <f t="shared" si="41"/>
        <v>0</v>
      </c>
      <c r="AC130" s="617"/>
      <c r="AD130" s="400"/>
      <c r="AE130" s="397"/>
      <c r="AF130" s="654">
        <f t="shared" si="43"/>
        <v>0</v>
      </c>
      <c r="AG130" s="617"/>
      <c r="AH130" s="400"/>
      <c r="AI130" s="397"/>
      <c r="AK130" s="611"/>
      <c r="AL130" s="612"/>
      <c r="AM130" s="613"/>
    </row>
    <row r="131" spans="1:39" ht="53.25" customHeight="1">
      <c r="A131" s="496">
        <v>33</v>
      </c>
      <c r="B131" s="497"/>
      <c r="C131" s="497" t="s">
        <v>587</v>
      </c>
      <c r="D131" s="497"/>
      <c r="E131" s="531" t="s">
        <v>589</v>
      </c>
      <c r="F131" s="1080"/>
      <c r="G131" s="1080"/>
      <c r="H131" s="667" t="s">
        <v>702</v>
      </c>
      <c r="I131" s="403" t="s">
        <v>607</v>
      </c>
      <c r="J131" s="404" t="s">
        <v>604</v>
      </c>
      <c r="K131" s="403" t="s">
        <v>552</v>
      </c>
      <c r="L131" s="390" t="s">
        <v>365</v>
      </c>
      <c r="M131" s="390" t="s">
        <v>229</v>
      </c>
      <c r="N131" s="416" t="s">
        <v>362</v>
      </c>
      <c r="O131" s="706" t="s">
        <v>515</v>
      </c>
      <c r="P131" s="408" t="s">
        <v>599</v>
      </c>
      <c r="Q131" s="408"/>
      <c r="R131" s="505"/>
      <c r="S131" s="505"/>
      <c r="T131" s="505"/>
      <c r="U131" s="505"/>
      <c r="V131" s="505"/>
      <c r="W131" s="505"/>
      <c r="X131" s="502"/>
      <c r="Y131" s="603"/>
      <c r="Z131" s="597"/>
      <c r="AA131" s="602"/>
      <c r="AB131" s="654">
        <f t="shared" si="41"/>
        <v>0</v>
      </c>
      <c r="AC131" s="617"/>
      <c r="AD131" s="400">
        <f>IF(AB131,AC131/AB131,0)</f>
        <v>0</v>
      </c>
      <c r="AE131" s="397"/>
      <c r="AF131" s="654">
        <f t="shared" si="43"/>
        <v>0</v>
      </c>
      <c r="AG131" s="617"/>
      <c r="AH131" s="400" t="e">
        <f t="shared" si="34"/>
        <v>#DIV/0!</v>
      </c>
      <c r="AI131" s="397"/>
      <c r="AK131" s="611"/>
      <c r="AL131" s="612"/>
      <c r="AM131" s="613"/>
    </row>
    <row r="132" spans="1:39" s="550" customFormat="1" ht="35.1" customHeight="1">
      <c r="A132" s="573"/>
      <c r="B132" s="542"/>
      <c r="C132" s="542"/>
      <c r="D132" s="542"/>
      <c r="E132" s="518" t="s">
        <v>553</v>
      </c>
      <c r="F132" s="1077"/>
      <c r="G132" s="1077"/>
      <c r="H132" s="543"/>
      <c r="I132" s="544"/>
      <c r="J132" s="545"/>
      <c r="K132" s="544"/>
      <c r="L132" s="546"/>
      <c r="M132" s="546"/>
      <c r="N132" s="547"/>
      <c r="O132" s="548"/>
      <c r="P132" s="549"/>
      <c r="Q132" s="549"/>
      <c r="R132" s="406"/>
      <c r="S132" s="406"/>
      <c r="T132" s="406"/>
      <c r="U132" s="406"/>
      <c r="V132" s="406"/>
      <c r="W132" s="406"/>
      <c r="X132" s="409"/>
      <c r="Y132" s="622"/>
      <c r="Z132" s="623"/>
      <c r="AA132" s="624"/>
      <c r="AB132" s="625"/>
      <c r="AC132" s="617"/>
      <c r="AD132" s="626"/>
      <c r="AE132" s="543"/>
      <c r="AF132" s="625"/>
      <c r="AG132" s="617"/>
      <c r="AH132" s="626"/>
      <c r="AI132" s="543"/>
      <c r="AK132" s="611"/>
      <c r="AL132" s="612"/>
      <c r="AM132" s="613"/>
    </row>
    <row r="133" spans="1:39" ht="142.9" customHeight="1">
      <c r="A133" s="496">
        <v>34</v>
      </c>
      <c r="B133" s="497"/>
      <c r="C133" s="497" t="s">
        <v>588</v>
      </c>
      <c r="D133" s="497"/>
      <c r="E133" s="528" t="s">
        <v>601</v>
      </c>
      <c r="F133" s="1078"/>
      <c r="G133" s="1078"/>
      <c r="H133" s="668" t="s">
        <v>679</v>
      </c>
      <c r="I133" s="403" t="s">
        <v>607</v>
      </c>
      <c r="J133" s="404" t="s">
        <v>604</v>
      </c>
      <c r="K133" s="403" t="s">
        <v>544</v>
      </c>
      <c r="L133" s="390" t="s">
        <v>365</v>
      </c>
      <c r="M133" s="390" t="s">
        <v>229</v>
      </c>
      <c r="N133" s="416"/>
      <c r="O133" s="706" t="s">
        <v>515</v>
      </c>
      <c r="P133" s="408" t="s">
        <v>599</v>
      </c>
      <c r="Q133" s="408"/>
      <c r="R133" s="505"/>
      <c r="S133" s="505"/>
      <c r="T133" s="505"/>
      <c r="U133" s="505"/>
      <c r="V133" s="505"/>
      <c r="W133" s="505"/>
      <c r="X133" s="502"/>
      <c r="Y133" s="603"/>
      <c r="Z133" s="597"/>
      <c r="AA133" s="602"/>
      <c r="AB133" s="654">
        <f t="shared" ref="AB133:AB140" si="44">T133/2</f>
        <v>0</v>
      </c>
      <c r="AC133" s="617"/>
      <c r="AD133" s="400">
        <f t="shared" ref="AD133:AD138" si="45">IF(AB133,AC133/AB133,0)</f>
        <v>0</v>
      </c>
      <c r="AE133" s="397"/>
      <c r="AF133" s="654">
        <f t="shared" ref="AF133:AF140" si="46">T133/2</f>
        <v>0</v>
      </c>
      <c r="AG133" s="617"/>
      <c r="AH133" s="400" t="e">
        <f t="shared" si="34"/>
        <v>#DIV/0!</v>
      </c>
      <c r="AI133" s="397"/>
      <c r="AK133" s="611"/>
      <c r="AL133" s="612"/>
      <c r="AM133" s="613"/>
    </row>
    <row r="134" spans="1:39" ht="38.25">
      <c r="A134" s="506"/>
      <c r="B134" s="497"/>
      <c r="C134" s="497"/>
      <c r="D134" s="497"/>
      <c r="E134" s="503" t="s">
        <v>605</v>
      </c>
      <c r="F134" s="1089"/>
      <c r="G134" s="1089"/>
      <c r="H134" s="667"/>
      <c r="I134" s="403"/>
      <c r="J134" s="404" t="s">
        <v>576</v>
      </c>
      <c r="K134" s="403"/>
      <c r="L134" s="390"/>
      <c r="M134" s="390"/>
      <c r="N134" s="416" t="s">
        <v>602</v>
      </c>
      <c r="O134" s="706" t="s">
        <v>515</v>
      </c>
      <c r="P134" s="408" t="s">
        <v>599</v>
      </c>
      <c r="Q134" s="408"/>
      <c r="R134" s="505"/>
      <c r="S134" s="505"/>
      <c r="T134" s="505"/>
      <c r="U134" s="505"/>
      <c r="V134" s="505"/>
      <c r="W134" s="505"/>
      <c r="X134" s="502"/>
      <c r="Y134" s="603"/>
      <c r="Z134" s="597"/>
      <c r="AA134" s="602"/>
      <c r="AB134" s="654">
        <f t="shared" si="44"/>
        <v>0</v>
      </c>
      <c r="AC134" s="617"/>
      <c r="AD134" s="400">
        <f t="shared" si="45"/>
        <v>0</v>
      </c>
      <c r="AE134" s="397"/>
      <c r="AF134" s="654">
        <f t="shared" si="46"/>
        <v>0</v>
      </c>
      <c r="AG134" s="617"/>
      <c r="AH134" s="400" t="e">
        <f t="shared" si="34"/>
        <v>#DIV/0!</v>
      </c>
      <c r="AI134" s="397"/>
      <c r="AK134" s="611"/>
      <c r="AL134" s="612"/>
      <c r="AM134" s="613"/>
    </row>
    <row r="135" spans="1:39" ht="43.15" customHeight="1">
      <c r="A135" s="506"/>
      <c r="B135" s="497"/>
      <c r="C135" s="497"/>
      <c r="D135" s="497"/>
      <c r="E135" s="529" t="s">
        <v>649</v>
      </c>
      <c r="F135" s="1079"/>
      <c r="G135" s="1079"/>
      <c r="H135" s="667"/>
      <c r="I135" s="403"/>
      <c r="J135" s="404" t="s">
        <v>604</v>
      </c>
      <c r="K135" s="403"/>
      <c r="L135" s="390"/>
      <c r="M135" s="390"/>
      <c r="N135" s="416" t="s">
        <v>606</v>
      </c>
      <c r="O135" s="706" t="s">
        <v>515</v>
      </c>
      <c r="P135" s="408" t="s">
        <v>599</v>
      </c>
      <c r="Q135" s="408"/>
      <c r="R135" s="505"/>
      <c r="S135" s="505"/>
      <c r="T135" s="505"/>
      <c r="U135" s="505"/>
      <c r="V135" s="505"/>
      <c r="W135" s="505"/>
      <c r="X135" s="502"/>
      <c r="Y135" s="603"/>
      <c r="Z135" s="597"/>
      <c r="AA135" s="602"/>
      <c r="AB135" s="654">
        <f t="shared" si="44"/>
        <v>0</v>
      </c>
      <c r="AC135" s="617"/>
      <c r="AD135" s="400">
        <f t="shared" si="45"/>
        <v>0</v>
      </c>
      <c r="AE135" s="397"/>
      <c r="AF135" s="654">
        <f t="shared" si="46"/>
        <v>0</v>
      </c>
      <c r="AG135" s="617"/>
      <c r="AH135" s="400" t="e">
        <f t="shared" si="34"/>
        <v>#DIV/0!</v>
      </c>
      <c r="AI135" s="397"/>
      <c r="AK135" s="611"/>
      <c r="AL135" s="612"/>
      <c r="AM135" s="613"/>
    </row>
    <row r="136" spans="1:39" ht="33" customHeight="1">
      <c r="A136" s="506"/>
      <c r="B136" s="497"/>
      <c r="C136" s="497"/>
      <c r="D136" s="497"/>
      <c r="E136" s="529" t="s">
        <v>650</v>
      </c>
      <c r="F136" s="1079"/>
      <c r="G136" s="1079"/>
      <c r="H136" s="667"/>
      <c r="I136" s="403"/>
      <c r="J136" s="404" t="s">
        <v>604</v>
      </c>
      <c r="K136" s="403"/>
      <c r="L136" s="390"/>
      <c r="M136" s="390"/>
      <c r="N136" s="416" t="s">
        <v>435</v>
      </c>
      <c r="O136" s="706" t="s">
        <v>515</v>
      </c>
      <c r="P136" s="408">
        <v>15</v>
      </c>
      <c r="Q136" s="408"/>
      <c r="R136" s="505"/>
      <c r="S136" s="505"/>
      <c r="T136" s="505"/>
      <c r="U136" s="505"/>
      <c r="V136" s="505"/>
      <c r="W136" s="505"/>
      <c r="X136" s="502"/>
      <c r="Y136" s="603"/>
      <c r="Z136" s="597"/>
      <c r="AA136" s="602"/>
      <c r="AB136" s="654">
        <f t="shared" si="44"/>
        <v>0</v>
      </c>
      <c r="AC136" s="617"/>
      <c r="AD136" s="400">
        <f t="shared" si="45"/>
        <v>0</v>
      </c>
      <c r="AE136" s="397"/>
      <c r="AF136" s="654">
        <f t="shared" si="46"/>
        <v>0</v>
      </c>
      <c r="AG136" s="617"/>
      <c r="AH136" s="400" t="e">
        <f t="shared" si="34"/>
        <v>#DIV/0!</v>
      </c>
      <c r="AI136" s="397"/>
      <c r="AK136" s="611"/>
      <c r="AL136" s="612"/>
      <c r="AM136" s="613"/>
    </row>
    <row r="137" spans="1:39" ht="49.5" customHeight="1">
      <c r="A137" s="506"/>
      <c r="B137" s="497"/>
      <c r="C137" s="497"/>
      <c r="D137" s="497"/>
      <c r="E137" s="529" t="s">
        <v>651</v>
      </c>
      <c r="F137" s="1079"/>
      <c r="G137" s="1079"/>
      <c r="H137" s="667"/>
      <c r="I137" s="403"/>
      <c r="J137" s="404" t="s">
        <v>604</v>
      </c>
      <c r="K137" s="403"/>
      <c r="L137" s="390"/>
      <c r="M137" s="390"/>
      <c r="N137" s="416" t="s">
        <v>435</v>
      </c>
      <c r="O137" s="706" t="s">
        <v>515</v>
      </c>
      <c r="P137" s="408">
        <v>15</v>
      </c>
      <c r="Q137" s="408"/>
      <c r="R137" s="505"/>
      <c r="S137" s="505"/>
      <c r="T137" s="505"/>
      <c r="U137" s="505"/>
      <c r="V137" s="505"/>
      <c r="W137" s="505"/>
      <c r="X137" s="502"/>
      <c r="Y137" s="603"/>
      <c r="Z137" s="597"/>
      <c r="AA137" s="602"/>
      <c r="AB137" s="654">
        <f t="shared" si="44"/>
        <v>0</v>
      </c>
      <c r="AC137" s="617"/>
      <c r="AD137" s="400">
        <f t="shared" si="45"/>
        <v>0</v>
      </c>
      <c r="AE137" s="397"/>
      <c r="AF137" s="654">
        <f t="shared" si="46"/>
        <v>0</v>
      </c>
      <c r="AG137" s="617"/>
      <c r="AH137" s="400"/>
      <c r="AI137" s="397"/>
      <c r="AK137" s="611"/>
      <c r="AL137" s="612"/>
      <c r="AM137" s="613"/>
    </row>
    <row r="138" spans="1:39" ht="53.25" customHeight="1">
      <c r="A138" s="506"/>
      <c r="B138" s="497"/>
      <c r="C138" s="497"/>
      <c r="D138" s="497"/>
      <c r="E138" s="529" t="s">
        <v>652</v>
      </c>
      <c r="F138" s="1079"/>
      <c r="G138" s="1079"/>
      <c r="H138" s="667"/>
      <c r="I138" s="403"/>
      <c r="J138" s="404" t="s">
        <v>604</v>
      </c>
      <c r="K138" s="403"/>
      <c r="L138" s="390"/>
      <c r="M138" s="390"/>
      <c r="N138" s="416" t="s">
        <v>435</v>
      </c>
      <c r="O138" s="706" t="s">
        <v>515</v>
      </c>
      <c r="P138" s="408">
        <v>10</v>
      </c>
      <c r="Q138" s="408"/>
      <c r="R138" s="505"/>
      <c r="S138" s="505"/>
      <c r="T138" s="505"/>
      <c r="U138" s="505"/>
      <c r="V138" s="505"/>
      <c r="W138" s="505"/>
      <c r="X138" s="502"/>
      <c r="Y138" s="603"/>
      <c r="Z138" s="597"/>
      <c r="AA138" s="602"/>
      <c r="AB138" s="654">
        <f t="shared" si="44"/>
        <v>0</v>
      </c>
      <c r="AC138" s="617"/>
      <c r="AD138" s="400">
        <f t="shared" si="45"/>
        <v>0</v>
      </c>
      <c r="AE138" s="397"/>
      <c r="AF138" s="654">
        <f t="shared" si="46"/>
        <v>0</v>
      </c>
      <c r="AG138" s="617"/>
      <c r="AH138" s="400" t="e">
        <f t="shared" si="34"/>
        <v>#DIV/0!</v>
      </c>
      <c r="AI138" s="397"/>
      <c r="AK138" s="611"/>
      <c r="AL138" s="612"/>
      <c r="AM138" s="613"/>
    </row>
    <row r="139" spans="1:39" ht="54.75" customHeight="1">
      <c r="A139" s="506"/>
      <c r="B139" s="497"/>
      <c r="C139" s="497"/>
      <c r="D139" s="497"/>
      <c r="E139" s="529" t="s">
        <v>653</v>
      </c>
      <c r="F139" s="1079"/>
      <c r="G139" s="1079"/>
      <c r="H139" s="667"/>
      <c r="I139" s="403"/>
      <c r="J139" s="404" t="s">
        <v>604</v>
      </c>
      <c r="K139" s="403"/>
      <c r="L139" s="390"/>
      <c r="M139" s="390"/>
      <c r="N139" s="416" t="s">
        <v>435</v>
      </c>
      <c r="O139" s="706" t="s">
        <v>515</v>
      </c>
      <c r="P139" s="408">
        <v>10</v>
      </c>
      <c r="Q139" s="408"/>
      <c r="R139" s="505"/>
      <c r="S139" s="505"/>
      <c r="T139" s="505"/>
      <c r="U139" s="505"/>
      <c r="V139" s="505"/>
      <c r="W139" s="505"/>
      <c r="X139" s="502"/>
      <c r="Y139" s="603"/>
      <c r="Z139" s="597"/>
      <c r="AA139" s="602"/>
      <c r="AB139" s="654">
        <f t="shared" si="44"/>
        <v>0</v>
      </c>
      <c r="AC139" s="617"/>
      <c r="AD139" s="400"/>
      <c r="AE139" s="397"/>
      <c r="AF139" s="654">
        <f t="shared" si="46"/>
        <v>0</v>
      </c>
      <c r="AG139" s="617"/>
      <c r="AH139" s="400"/>
      <c r="AI139" s="397"/>
      <c r="AK139" s="611"/>
      <c r="AL139" s="612"/>
      <c r="AM139" s="613"/>
    </row>
    <row r="140" spans="1:39" ht="43.15" customHeight="1" thickBot="1">
      <c r="A140" s="506"/>
      <c r="B140" s="497"/>
      <c r="C140" s="497"/>
      <c r="D140" s="497"/>
      <c r="E140" s="529" t="s">
        <v>603</v>
      </c>
      <c r="F140" s="1079"/>
      <c r="G140" s="1079"/>
      <c r="H140" s="667"/>
      <c r="I140" s="403"/>
      <c r="J140" s="404" t="s">
        <v>604</v>
      </c>
      <c r="K140" s="403"/>
      <c r="L140" s="390"/>
      <c r="M140" s="390"/>
      <c r="N140" s="416" t="s">
        <v>435</v>
      </c>
      <c r="O140" s="706" t="s">
        <v>515</v>
      </c>
      <c r="P140" s="408">
        <v>20000</v>
      </c>
      <c r="Q140" s="408"/>
      <c r="R140" s="505"/>
      <c r="S140" s="505"/>
      <c r="T140" s="505"/>
      <c r="U140" s="505"/>
      <c r="V140" s="505"/>
      <c r="W140" s="505"/>
      <c r="X140" s="502"/>
      <c r="Y140" s="605"/>
      <c r="Z140" s="606"/>
      <c r="AA140" s="607"/>
      <c r="AB140" s="654">
        <f t="shared" si="44"/>
        <v>0</v>
      </c>
      <c r="AC140" s="617"/>
      <c r="AD140" s="400">
        <f>IF(AB140,AC140/AB140,0)</f>
        <v>0</v>
      </c>
      <c r="AE140" s="397"/>
      <c r="AF140" s="654">
        <f t="shared" si="46"/>
        <v>0</v>
      </c>
      <c r="AG140" s="617"/>
      <c r="AH140" s="400" t="e">
        <f t="shared" si="34"/>
        <v>#DIV/0!</v>
      </c>
      <c r="AI140" s="397"/>
      <c r="AK140" s="618"/>
      <c r="AL140" s="619"/>
      <c r="AM140" s="620"/>
    </row>
    <row r="141" spans="1:39" ht="43.15" hidden="1" customHeight="1" thickBot="1">
      <c r="A141" s="506"/>
      <c r="B141" s="497"/>
      <c r="C141" s="497"/>
      <c r="D141" s="497"/>
      <c r="E141" s="503"/>
      <c r="F141" s="1089"/>
      <c r="G141" s="1089"/>
      <c r="H141" s="397"/>
      <c r="I141" s="403"/>
      <c r="J141" s="404"/>
      <c r="K141" s="403"/>
      <c r="L141" s="390"/>
      <c r="M141" s="390"/>
      <c r="N141" s="416"/>
      <c r="O141" s="407"/>
      <c r="P141" s="408"/>
      <c r="Q141" s="408"/>
      <c r="R141" s="406"/>
      <c r="S141" s="406"/>
      <c r="T141" s="406"/>
      <c r="U141" s="406"/>
      <c r="V141" s="406"/>
      <c r="W141" s="406"/>
      <c r="X141" s="409"/>
      <c r="Y141" s="601"/>
      <c r="Z141" s="601"/>
      <c r="AA141" s="601"/>
      <c r="AB141" s="401"/>
      <c r="AC141" s="399"/>
      <c r="AD141" s="400" t="e">
        <f t="shared" si="33"/>
        <v>#DIV/0!</v>
      </c>
      <c r="AE141" s="397"/>
      <c r="AF141" s="398"/>
      <c r="AG141" s="399"/>
      <c r="AH141" s="400" t="e">
        <f t="shared" si="34"/>
        <v>#DIV/0!</v>
      </c>
      <c r="AI141" s="397"/>
    </row>
    <row r="142" spans="1:39" ht="43.15" hidden="1" customHeight="1">
      <c r="A142" s="506"/>
      <c r="B142" s="497"/>
      <c r="C142" s="497"/>
      <c r="D142" s="497"/>
      <c r="E142" s="498"/>
      <c r="F142" s="1090"/>
      <c r="G142" s="1090"/>
      <c r="H142" s="397"/>
      <c r="I142" s="403"/>
      <c r="J142" s="404"/>
      <c r="K142" s="403"/>
      <c r="L142" s="390"/>
      <c r="M142" s="390"/>
      <c r="N142" s="416"/>
      <c r="O142" s="407"/>
      <c r="P142" s="408"/>
      <c r="Q142" s="408"/>
      <c r="R142" s="406"/>
      <c r="S142" s="406"/>
      <c r="T142" s="406"/>
      <c r="U142" s="406"/>
      <c r="V142" s="406"/>
      <c r="W142" s="406"/>
      <c r="X142" s="409"/>
      <c r="Y142" s="599"/>
      <c r="Z142" s="599"/>
      <c r="AA142" s="599"/>
      <c r="AB142" s="401"/>
      <c r="AC142" s="399"/>
      <c r="AD142" s="400" t="e">
        <f t="shared" si="33"/>
        <v>#DIV/0!</v>
      </c>
      <c r="AE142" s="397"/>
      <c r="AF142" s="398"/>
      <c r="AG142" s="399"/>
      <c r="AH142" s="400" t="e">
        <f t="shared" si="34"/>
        <v>#DIV/0!</v>
      </c>
      <c r="AI142" s="397"/>
    </row>
    <row r="143" spans="1:39" ht="43.15" hidden="1" customHeight="1">
      <c r="A143" s="506"/>
      <c r="B143" s="497"/>
      <c r="C143" s="497"/>
      <c r="D143" s="497"/>
      <c r="E143" s="498"/>
      <c r="F143" s="1090"/>
      <c r="G143" s="1090"/>
      <c r="H143" s="397"/>
      <c r="I143" s="403"/>
      <c r="J143" s="404"/>
      <c r="K143" s="403"/>
      <c r="L143" s="390"/>
      <c r="M143" s="390"/>
      <c r="N143" s="416"/>
      <c r="O143" s="407"/>
      <c r="P143" s="408"/>
      <c r="Q143" s="408"/>
      <c r="R143" s="406"/>
      <c r="S143" s="406"/>
      <c r="T143" s="406"/>
      <c r="U143" s="406"/>
      <c r="V143" s="406"/>
      <c r="W143" s="406"/>
      <c r="X143" s="409"/>
      <c r="Y143" s="599"/>
      <c r="Z143" s="599"/>
      <c r="AA143" s="599"/>
      <c r="AB143" s="401"/>
      <c r="AC143" s="399"/>
      <c r="AD143" s="400" t="e">
        <f t="shared" si="33"/>
        <v>#DIV/0!</v>
      </c>
      <c r="AE143" s="397"/>
      <c r="AF143" s="398"/>
      <c r="AG143" s="399"/>
      <c r="AH143" s="400" t="e">
        <f t="shared" si="34"/>
        <v>#DIV/0!</v>
      </c>
      <c r="AI143" s="397"/>
    </row>
    <row r="144" spans="1:39" ht="43.15" hidden="1" customHeight="1">
      <c r="A144" s="506"/>
      <c r="B144" s="497"/>
      <c r="C144" s="497"/>
      <c r="D144" s="497"/>
      <c r="E144" s="498"/>
      <c r="F144" s="1090"/>
      <c r="G144" s="1090"/>
      <c r="H144" s="397"/>
      <c r="I144" s="403"/>
      <c r="J144" s="404"/>
      <c r="K144" s="403"/>
      <c r="L144" s="390"/>
      <c r="M144" s="390"/>
      <c r="N144" s="416"/>
      <c r="O144" s="407"/>
      <c r="P144" s="408"/>
      <c r="Q144" s="408"/>
      <c r="R144" s="406"/>
      <c r="S144" s="406"/>
      <c r="T144" s="406"/>
      <c r="U144" s="406"/>
      <c r="V144" s="406"/>
      <c r="W144" s="406"/>
      <c r="X144" s="409"/>
      <c r="Y144" s="599"/>
      <c r="Z144" s="599"/>
      <c r="AA144" s="599"/>
      <c r="AB144" s="401"/>
      <c r="AC144" s="399"/>
      <c r="AD144" s="400" t="e">
        <f t="shared" si="33"/>
        <v>#DIV/0!</v>
      </c>
      <c r="AE144" s="397"/>
      <c r="AF144" s="398"/>
      <c r="AG144" s="399"/>
      <c r="AH144" s="400" t="e">
        <f t="shared" si="34"/>
        <v>#DIV/0!</v>
      </c>
      <c r="AI144" s="397"/>
    </row>
    <row r="145" spans="1:35" ht="43.15" hidden="1" customHeight="1">
      <c r="A145" s="506"/>
      <c r="B145" s="497"/>
      <c r="C145" s="497"/>
      <c r="D145" s="497"/>
      <c r="E145" s="498"/>
      <c r="F145" s="1090"/>
      <c r="G145" s="1090"/>
      <c r="H145" s="397"/>
      <c r="I145" s="403"/>
      <c r="J145" s="404"/>
      <c r="K145" s="403"/>
      <c r="L145" s="390"/>
      <c r="M145" s="390"/>
      <c r="N145" s="416"/>
      <c r="O145" s="407"/>
      <c r="P145" s="408"/>
      <c r="Q145" s="408"/>
      <c r="R145" s="406"/>
      <c r="S145" s="406"/>
      <c r="T145" s="406"/>
      <c r="U145" s="406"/>
      <c r="V145" s="406"/>
      <c r="W145" s="406"/>
      <c r="X145" s="409"/>
      <c r="Y145" s="599"/>
      <c r="Z145" s="599"/>
      <c r="AA145" s="599"/>
      <c r="AB145" s="401"/>
      <c r="AC145" s="399"/>
      <c r="AD145" s="400" t="e">
        <f t="shared" ref="AD145:AD200" si="47">AC145/AB145</f>
        <v>#DIV/0!</v>
      </c>
      <c r="AE145" s="397"/>
      <c r="AF145" s="398"/>
      <c r="AG145" s="399"/>
      <c r="AH145" s="400" t="e">
        <f t="shared" ref="AH145:AH200" si="48">AG145/AF145</f>
        <v>#DIV/0!</v>
      </c>
      <c r="AI145" s="397"/>
    </row>
    <row r="146" spans="1:35" ht="43.15" hidden="1" customHeight="1">
      <c r="A146" s="506"/>
      <c r="B146" s="497"/>
      <c r="C146" s="497"/>
      <c r="D146" s="497"/>
      <c r="E146" s="498"/>
      <c r="F146" s="1090"/>
      <c r="G146" s="1090"/>
      <c r="H146" s="397"/>
      <c r="I146" s="403"/>
      <c r="J146" s="404"/>
      <c r="K146" s="403"/>
      <c r="L146" s="390"/>
      <c r="M146" s="390"/>
      <c r="N146" s="416"/>
      <c r="O146" s="407"/>
      <c r="P146" s="408"/>
      <c r="Q146" s="408"/>
      <c r="R146" s="406"/>
      <c r="S146" s="406"/>
      <c r="T146" s="406"/>
      <c r="U146" s="406"/>
      <c r="V146" s="406"/>
      <c r="W146" s="406"/>
      <c r="X146" s="409"/>
      <c r="Y146" s="599"/>
      <c r="Z146" s="599"/>
      <c r="AA146" s="599"/>
      <c r="AB146" s="401"/>
      <c r="AC146" s="399"/>
      <c r="AD146" s="400" t="e">
        <f t="shared" si="47"/>
        <v>#DIV/0!</v>
      </c>
      <c r="AE146" s="397"/>
      <c r="AF146" s="398"/>
      <c r="AG146" s="399"/>
      <c r="AH146" s="400" t="e">
        <f t="shared" si="48"/>
        <v>#DIV/0!</v>
      </c>
      <c r="AI146" s="397"/>
    </row>
    <row r="147" spans="1:35" ht="43.15" hidden="1" customHeight="1">
      <c r="A147" s="506"/>
      <c r="B147" s="497"/>
      <c r="C147" s="497"/>
      <c r="D147" s="497"/>
      <c r="E147" s="498"/>
      <c r="F147" s="1090"/>
      <c r="G147" s="1090"/>
      <c r="H147" s="397"/>
      <c r="I147" s="403"/>
      <c r="J147" s="404"/>
      <c r="K147" s="403"/>
      <c r="L147" s="390"/>
      <c r="M147" s="390"/>
      <c r="N147" s="416"/>
      <c r="O147" s="407"/>
      <c r="P147" s="408"/>
      <c r="Q147" s="408"/>
      <c r="R147" s="406"/>
      <c r="S147" s="406"/>
      <c r="T147" s="406"/>
      <c r="U147" s="406"/>
      <c r="V147" s="406"/>
      <c r="W147" s="406"/>
      <c r="X147" s="409"/>
      <c r="Y147" s="599"/>
      <c r="Z147" s="599"/>
      <c r="AA147" s="599"/>
      <c r="AB147" s="401"/>
      <c r="AC147" s="399"/>
      <c r="AD147" s="400" t="e">
        <f t="shared" si="47"/>
        <v>#DIV/0!</v>
      </c>
      <c r="AE147" s="397"/>
      <c r="AF147" s="398"/>
      <c r="AG147" s="399"/>
      <c r="AH147" s="400" t="e">
        <f t="shared" si="48"/>
        <v>#DIV/0!</v>
      </c>
      <c r="AI147" s="397"/>
    </row>
    <row r="148" spans="1:35" ht="43.15" hidden="1" customHeight="1">
      <c r="A148" s="506"/>
      <c r="B148" s="497"/>
      <c r="C148" s="497"/>
      <c r="D148" s="497"/>
      <c r="E148" s="498"/>
      <c r="F148" s="1090"/>
      <c r="G148" s="1090"/>
      <c r="H148" s="397"/>
      <c r="I148" s="403"/>
      <c r="J148" s="404"/>
      <c r="K148" s="403"/>
      <c r="L148" s="390"/>
      <c r="M148" s="390"/>
      <c r="N148" s="416"/>
      <c r="O148" s="407"/>
      <c r="P148" s="408"/>
      <c r="Q148" s="408"/>
      <c r="R148" s="406"/>
      <c r="S148" s="406"/>
      <c r="T148" s="406"/>
      <c r="U148" s="406"/>
      <c r="V148" s="406"/>
      <c r="W148" s="406"/>
      <c r="X148" s="409"/>
      <c r="Y148" s="599"/>
      <c r="Z148" s="599"/>
      <c r="AA148" s="599"/>
      <c r="AB148" s="401"/>
      <c r="AC148" s="399"/>
      <c r="AD148" s="400" t="e">
        <f t="shared" si="47"/>
        <v>#DIV/0!</v>
      </c>
      <c r="AE148" s="397"/>
      <c r="AF148" s="398"/>
      <c r="AG148" s="399"/>
      <c r="AH148" s="400" t="e">
        <f t="shared" si="48"/>
        <v>#DIV/0!</v>
      </c>
      <c r="AI148" s="397"/>
    </row>
    <row r="149" spans="1:35" ht="43.15" hidden="1" customHeight="1">
      <c r="A149" s="506"/>
      <c r="B149" s="497"/>
      <c r="C149" s="497"/>
      <c r="D149" s="497"/>
      <c r="E149" s="498"/>
      <c r="F149" s="1090"/>
      <c r="G149" s="1090"/>
      <c r="H149" s="397"/>
      <c r="I149" s="403"/>
      <c r="J149" s="404"/>
      <c r="K149" s="403"/>
      <c r="L149" s="390"/>
      <c r="M149" s="390"/>
      <c r="N149" s="416"/>
      <c r="O149" s="407"/>
      <c r="P149" s="408"/>
      <c r="Q149" s="408"/>
      <c r="R149" s="406"/>
      <c r="S149" s="406"/>
      <c r="T149" s="406"/>
      <c r="U149" s="406"/>
      <c r="V149" s="406"/>
      <c r="W149" s="406"/>
      <c r="X149" s="409"/>
      <c r="Y149" s="599"/>
      <c r="Z149" s="599"/>
      <c r="AA149" s="599"/>
      <c r="AB149" s="401"/>
      <c r="AC149" s="399"/>
      <c r="AD149" s="400" t="e">
        <f t="shared" si="47"/>
        <v>#DIV/0!</v>
      </c>
      <c r="AE149" s="397"/>
      <c r="AF149" s="398"/>
      <c r="AG149" s="399"/>
      <c r="AH149" s="400" t="e">
        <f t="shared" si="48"/>
        <v>#DIV/0!</v>
      </c>
      <c r="AI149" s="397"/>
    </row>
    <row r="150" spans="1:35" ht="43.15" hidden="1" customHeight="1">
      <c r="A150" s="506"/>
      <c r="B150" s="497"/>
      <c r="C150" s="497"/>
      <c r="D150" s="497"/>
      <c r="E150" s="498"/>
      <c r="F150" s="1090"/>
      <c r="G150" s="1090"/>
      <c r="H150" s="397"/>
      <c r="I150" s="403"/>
      <c r="J150" s="404"/>
      <c r="K150" s="403"/>
      <c r="L150" s="390"/>
      <c r="M150" s="390"/>
      <c r="N150" s="416"/>
      <c r="O150" s="407"/>
      <c r="P150" s="408"/>
      <c r="Q150" s="408"/>
      <c r="R150" s="406"/>
      <c r="S150" s="406"/>
      <c r="T150" s="406"/>
      <c r="U150" s="406"/>
      <c r="V150" s="406"/>
      <c r="W150" s="406"/>
      <c r="X150" s="409"/>
      <c r="Y150" s="599"/>
      <c r="Z150" s="599"/>
      <c r="AA150" s="599"/>
      <c r="AB150" s="401"/>
      <c r="AC150" s="399"/>
      <c r="AD150" s="400" t="e">
        <f t="shared" si="47"/>
        <v>#DIV/0!</v>
      </c>
      <c r="AE150" s="397"/>
      <c r="AF150" s="398"/>
      <c r="AG150" s="399"/>
      <c r="AH150" s="400" t="e">
        <f t="shared" si="48"/>
        <v>#DIV/0!</v>
      </c>
      <c r="AI150" s="397"/>
    </row>
    <row r="151" spans="1:35" ht="43.15" hidden="1" customHeight="1">
      <c r="A151" s="506"/>
      <c r="B151" s="497"/>
      <c r="C151" s="497"/>
      <c r="D151" s="497"/>
      <c r="E151" s="498"/>
      <c r="F151" s="1090"/>
      <c r="G151" s="1090"/>
      <c r="H151" s="397"/>
      <c r="I151" s="403"/>
      <c r="J151" s="404"/>
      <c r="K151" s="403"/>
      <c r="L151" s="390"/>
      <c r="M151" s="390"/>
      <c r="N151" s="416"/>
      <c r="O151" s="407"/>
      <c r="P151" s="408"/>
      <c r="Q151" s="408"/>
      <c r="R151" s="406"/>
      <c r="S151" s="406"/>
      <c r="T151" s="406"/>
      <c r="U151" s="406"/>
      <c r="V151" s="406"/>
      <c r="W151" s="406"/>
      <c r="X151" s="409"/>
      <c r="Y151" s="599"/>
      <c r="Z151" s="599"/>
      <c r="AA151" s="599"/>
      <c r="AB151" s="401"/>
      <c r="AC151" s="399"/>
      <c r="AD151" s="400" t="e">
        <f t="shared" si="47"/>
        <v>#DIV/0!</v>
      </c>
      <c r="AE151" s="397"/>
      <c r="AF151" s="398"/>
      <c r="AG151" s="399"/>
      <c r="AH151" s="400" t="e">
        <f t="shared" si="48"/>
        <v>#DIV/0!</v>
      </c>
      <c r="AI151" s="397"/>
    </row>
    <row r="152" spans="1:35" ht="43.15" hidden="1" customHeight="1">
      <c r="A152" s="506"/>
      <c r="B152" s="497"/>
      <c r="C152" s="497"/>
      <c r="D152" s="497"/>
      <c r="E152" s="498"/>
      <c r="F152" s="1090"/>
      <c r="G152" s="1090"/>
      <c r="H152" s="397"/>
      <c r="I152" s="403"/>
      <c r="J152" s="404"/>
      <c r="K152" s="403"/>
      <c r="L152" s="390"/>
      <c r="M152" s="390"/>
      <c r="N152" s="416"/>
      <c r="O152" s="407"/>
      <c r="P152" s="408"/>
      <c r="Q152" s="408"/>
      <c r="R152" s="406"/>
      <c r="S152" s="406"/>
      <c r="T152" s="406"/>
      <c r="U152" s="406"/>
      <c r="V152" s="406"/>
      <c r="W152" s="406"/>
      <c r="X152" s="409"/>
      <c r="Y152" s="599"/>
      <c r="Z152" s="599"/>
      <c r="AA152" s="599"/>
      <c r="AB152" s="401"/>
      <c r="AC152" s="399"/>
      <c r="AD152" s="400" t="e">
        <f t="shared" si="47"/>
        <v>#DIV/0!</v>
      </c>
      <c r="AE152" s="397"/>
      <c r="AF152" s="398"/>
      <c r="AG152" s="399"/>
      <c r="AH152" s="400" t="e">
        <f t="shared" si="48"/>
        <v>#DIV/0!</v>
      </c>
      <c r="AI152" s="397"/>
    </row>
    <row r="153" spans="1:35" ht="43.15" hidden="1" customHeight="1">
      <c r="A153" s="506"/>
      <c r="B153" s="497"/>
      <c r="C153" s="497"/>
      <c r="D153" s="497"/>
      <c r="E153" s="498"/>
      <c r="F153" s="1090"/>
      <c r="G153" s="1090"/>
      <c r="H153" s="397"/>
      <c r="I153" s="403"/>
      <c r="J153" s="404"/>
      <c r="K153" s="403"/>
      <c r="L153" s="390"/>
      <c r="M153" s="390"/>
      <c r="N153" s="416"/>
      <c r="O153" s="407"/>
      <c r="P153" s="408"/>
      <c r="Q153" s="408"/>
      <c r="R153" s="406"/>
      <c r="S153" s="406"/>
      <c r="T153" s="406"/>
      <c r="U153" s="406"/>
      <c r="V153" s="406"/>
      <c r="W153" s="406"/>
      <c r="X153" s="409"/>
      <c r="Y153" s="599"/>
      <c r="Z153" s="599"/>
      <c r="AA153" s="599"/>
      <c r="AB153" s="401"/>
      <c r="AC153" s="399"/>
      <c r="AD153" s="400" t="e">
        <f t="shared" si="47"/>
        <v>#DIV/0!</v>
      </c>
      <c r="AE153" s="397"/>
      <c r="AF153" s="398"/>
      <c r="AG153" s="399"/>
      <c r="AH153" s="400" t="e">
        <f t="shared" si="48"/>
        <v>#DIV/0!</v>
      </c>
      <c r="AI153" s="397"/>
    </row>
    <row r="154" spans="1:35" ht="43.15" hidden="1" customHeight="1">
      <c r="A154" s="506"/>
      <c r="B154" s="497"/>
      <c r="C154" s="497"/>
      <c r="D154" s="497"/>
      <c r="E154" s="498"/>
      <c r="F154" s="1090"/>
      <c r="G154" s="1090"/>
      <c r="H154" s="397"/>
      <c r="I154" s="403"/>
      <c r="J154" s="404"/>
      <c r="K154" s="403"/>
      <c r="L154" s="390"/>
      <c r="M154" s="390"/>
      <c r="N154" s="416"/>
      <c r="O154" s="407"/>
      <c r="P154" s="408"/>
      <c r="Q154" s="408"/>
      <c r="R154" s="406"/>
      <c r="S154" s="406"/>
      <c r="T154" s="406"/>
      <c r="U154" s="406"/>
      <c r="V154" s="406"/>
      <c r="W154" s="406"/>
      <c r="X154" s="409"/>
      <c r="Y154" s="599"/>
      <c r="Z154" s="599"/>
      <c r="AA154" s="599"/>
      <c r="AB154" s="401"/>
      <c r="AC154" s="399"/>
      <c r="AD154" s="400" t="e">
        <f t="shared" si="47"/>
        <v>#DIV/0!</v>
      </c>
      <c r="AE154" s="397"/>
      <c r="AF154" s="398"/>
      <c r="AG154" s="399"/>
      <c r="AH154" s="400" t="e">
        <f t="shared" si="48"/>
        <v>#DIV/0!</v>
      </c>
      <c r="AI154" s="397"/>
    </row>
    <row r="155" spans="1:35" ht="43.15" hidden="1" customHeight="1">
      <c r="A155" s="506"/>
      <c r="B155" s="497"/>
      <c r="C155" s="497"/>
      <c r="D155" s="497"/>
      <c r="E155" s="498"/>
      <c r="F155" s="1090"/>
      <c r="G155" s="1090"/>
      <c r="H155" s="397"/>
      <c r="I155" s="403"/>
      <c r="J155" s="404"/>
      <c r="K155" s="403"/>
      <c r="L155" s="390"/>
      <c r="M155" s="390"/>
      <c r="N155" s="416"/>
      <c r="O155" s="407"/>
      <c r="P155" s="408"/>
      <c r="Q155" s="408"/>
      <c r="R155" s="406"/>
      <c r="S155" s="406"/>
      <c r="T155" s="406"/>
      <c r="U155" s="406"/>
      <c r="V155" s="406"/>
      <c r="W155" s="406"/>
      <c r="X155" s="409"/>
      <c r="Y155" s="599"/>
      <c r="Z155" s="599"/>
      <c r="AA155" s="599"/>
      <c r="AB155" s="401"/>
      <c r="AC155" s="399"/>
      <c r="AD155" s="400" t="e">
        <f t="shared" si="47"/>
        <v>#DIV/0!</v>
      </c>
      <c r="AE155" s="397"/>
      <c r="AF155" s="398"/>
      <c r="AG155" s="399"/>
      <c r="AH155" s="400" t="e">
        <f t="shared" si="48"/>
        <v>#DIV/0!</v>
      </c>
      <c r="AI155" s="397"/>
    </row>
    <row r="156" spans="1:35" ht="43.15" hidden="1" customHeight="1">
      <c r="A156" s="506"/>
      <c r="B156" s="497"/>
      <c r="C156" s="497"/>
      <c r="D156" s="497"/>
      <c r="E156" s="498"/>
      <c r="F156" s="1090"/>
      <c r="G156" s="1090"/>
      <c r="H156" s="397"/>
      <c r="I156" s="403"/>
      <c r="J156" s="404"/>
      <c r="K156" s="403"/>
      <c r="L156" s="390"/>
      <c r="M156" s="390"/>
      <c r="N156" s="416"/>
      <c r="O156" s="407"/>
      <c r="P156" s="408"/>
      <c r="Q156" s="408"/>
      <c r="R156" s="406"/>
      <c r="S156" s="406"/>
      <c r="T156" s="406"/>
      <c r="U156" s="406"/>
      <c r="V156" s="406"/>
      <c r="W156" s="406"/>
      <c r="X156" s="409"/>
      <c r="Y156" s="599"/>
      <c r="Z156" s="599"/>
      <c r="AA156" s="599"/>
      <c r="AB156" s="401"/>
      <c r="AC156" s="399"/>
      <c r="AD156" s="400" t="e">
        <f t="shared" si="47"/>
        <v>#DIV/0!</v>
      </c>
      <c r="AE156" s="397"/>
      <c r="AF156" s="398"/>
      <c r="AG156" s="399"/>
      <c r="AH156" s="400" t="e">
        <f t="shared" si="48"/>
        <v>#DIV/0!</v>
      </c>
      <c r="AI156" s="397"/>
    </row>
    <row r="157" spans="1:35" ht="43.15" hidden="1" customHeight="1">
      <c r="A157" s="506"/>
      <c r="B157" s="497"/>
      <c r="C157" s="497"/>
      <c r="D157" s="497"/>
      <c r="E157" s="498"/>
      <c r="F157" s="1090"/>
      <c r="G157" s="1090"/>
      <c r="H157" s="397"/>
      <c r="I157" s="403"/>
      <c r="J157" s="404"/>
      <c r="K157" s="403"/>
      <c r="L157" s="390"/>
      <c r="M157" s="390"/>
      <c r="N157" s="416"/>
      <c r="O157" s="407"/>
      <c r="P157" s="408"/>
      <c r="Q157" s="408"/>
      <c r="R157" s="406"/>
      <c r="S157" s="406"/>
      <c r="T157" s="406"/>
      <c r="U157" s="406"/>
      <c r="V157" s="406"/>
      <c r="W157" s="406"/>
      <c r="X157" s="409"/>
      <c r="Y157" s="599"/>
      <c r="Z157" s="599"/>
      <c r="AA157" s="599"/>
      <c r="AB157" s="401"/>
      <c r="AC157" s="399"/>
      <c r="AD157" s="400" t="e">
        <f t="shared" si="47"/>
        <v>#DIV/0!</v>
      </c>
      <c r="AE157" s="397"/>
      <c r="AF157" s="398"/>
      <c r="AG157" s="399"/>
      <c r="AH157" s="400" t="e">
        <f t="shared" si="48"/>
        <v>#DIV/0!</v>
      </c>
      <c r="AI157" s="397"/>
    </row>
    <row r="158" spans="1:35" ht="43.15" hidden="1" customHeight="1">
      <c r="A158" s="506"/>
      <c r="B158" s="497"/>
      <c r="C158" s="497"/>
      <c r="D158" s="497"/>
      <c r="E158" s="498"/>
      <c r="F158" s="1090"/>
      <c r="G158" s="1090"/>
      <c r="H158" s="397"/>
      <c r="I158" s="403"/>
      <c r="J158" s="404"/>
      <c r="K158" s="403"/>
      <c r="L158" s="390"/>
      <c r="M158" s="390"/>
      <c r="N158" s="416"/>
      <c r="O158" s="407"/>
      <c r="P158" s="408"/>
      <c r="Q158" s="408"/>
      <c r="R158" s="406"/>
      <c r="S158" s="406"/>
      <c r="T158" s="406"/>
      <c r="U158" s="406"/>
      <c r="V158" s="406"/>
      <c r="W158" s="406"/>
      <c r="X158" s="409"/>
      <c r="Y158" s="599"/>
      <c r="Z158" s="599"/>
      <c r="AA158" s="599"/>
      <c r="AB158" s="401"/>
      <c r="AC158" s="399"/>
      <c r="AD158" s="400" t="e">
        <f t="shared" si="47"/>
        <v>#DIV/0!</v>
      </c>
      <c r="AE158" s="397"/>
      <c r="AF158" s="398"/>
      <c r="AG158" s="399"/>
      <c r="AH158" s="400" t="e">
        <f t="shared" si="48"/>
        <v>#DIV/0!</v>
      </c>
      <c r="AI158" s="397"/>
    </row>
    <row r="159" spans="1:35" ht="43.15" hidden="1" customHeight="1">
      <c r="A159" s="506"/>
      <c r="B159" s="497"/>
      <c r="C159" s="497"/>
      <c r="D159" s="497"/>
      <c r="E159" s="498"/>
      <c r="F159" s="1090"/>
      <c r="G159" s="1090"/>
      <c r="H159" s="397"/>
      <c r="I159" s="403"/>
      <c r="J159" s="404"/>
      <c r="K159" s="403"/>
      <c r="L159" s="390"/>
      <c r="M159" s="390"/>
      <c r="N159" s="416"/>
      <c r="O159" s="407"/>
      <c r="P159" s="408"/>
      <c r="Q159" s="408"/>
      <c r="R159" s="406"/>
      <c r="S159" s="406"/>
      <c r="T159" s="406"/>
      <c r="U159" s="406"/>
      <c r="V159" s="406"/>
      <c r="W159" s="406"/>
      <c r="X159" s="409"/>
      <c r="Y159" s="599"/>
      <c r="Z159" s="599"/>
      <c r="AA159" s="599"/>
      <c r="AB159" s="401"/>
      <c r="AC159" s="399"/>
      <c r="AD159" s="400" t="e">
        <f t="shared" si="47"/>
        <v>#DIV/0!</v>
      </c>
      <c r="AE159" s="397"/>
      <c r="AF159" s="398"/>
      <c r="AG159" s="399"/>
      <c r="AH159" s="400" t="e">
        <f t="shared" si="48"/>
        <v>#DIV/0!</v>
      </c>
      <c r="AI159" s="397"/>
    </row>
    <row r="160" spans="1:35" ht="43.15" hidden="1" customHeight="1">
      <c r="A160" s="506"/>
      <c r="B160" s="497"/>
      <c r="C160" s="497"/>
      <c r="D160" s="497"/>
      <c r="E160" s="498"/>
      <c r="F160" s="1090"/>
      <c r="G160" s="1090"/>
      <c r="H160" s="397"/>
      <c r="I160" s="403"/>
      <c r="J160" s="404"/>
      <c r="K160" s="403"/>
      <c r="L160" s="390"/>
      <c r="M160" s="390"/>
      <c r="N160" s="416"/>
      <c r="O160" s="407"/>
      <c r="P160" s="408"/>
      <c r="Q160" s="408"/>
      <c r="R160" s="406"/>
      <c r="S160" s="406"/>
      <c r="T160" s="406"/>
      <c r="U160" s="406"/>
      <c r="V160" s="406"/>
      <c r="W160" s="406"/>
      <c r="X160" s="409"/>
      <c r="Y160" s="599"/>
      <c r="Z160" s="599"/>
      <c r="AA160" s="599"/>
      <c r="AB160" s="401"/>
      <c r="AC160" s="399"/>
      <c r="AD160" s="400" t="e">
        <f t="shared" si="47"/>
        <v>#DIV/0!</v>
      </c>
      <c r="AE160" s="397"/>
      <c r="AF160" s="398"/>
      <c r="AG160" s="399"/>
      <c r="AH160" s="400" t="e">
        <f t="shared" si="48"/>
        <v>#DIV/0!</v>
      </c>
      <c r="AI160" s="397"/>
    </row>
    <row r="161" spans="1:35" ht="43.15" hidden="1" customHeight="1">
      <c r="A161" s="506"/>
      <c r="B161" s="497"/>
      <c r="C161" s="497"/>
      <c r="D161" s="497"/>
      <c r="E161" s="498"/>
      <c r="F161" s="1090"/>
      <c r="G161" s="1090"/>
      <c r="H161" s="397"/>
      <c r="I161" s="403"/>
      <c r="J161" s="404"/>
      <c r="K161" s="403"/>
      <c r="L161" s="390"/>
      <c r="M161" s="390"/>
      <c r="N161" s="416"/>
      <c r="O161" s="407"/>
      <c r="P161" s="408"/>
      <c r="Q161" s="408"/>
      <c r="R161" s="406"/>
      <c r="S161" s="406"/>
      <c r="T161" s="406"/>
      <c r="U161" s="406"/>
      <c r="V161" s="406"/>
      <c r="W161" s="406"/>
      <c r="X161" s="409"/>
      <c r="Y161" s="599"/>
      <c r="Z161" s="599"/>
      <c r="AA161" s="599"/>
      <c r="AB161" s="401"/>
      <c r="AC161" s="399"/>
      <c r="AD161" s="400" t="e">
        <f t="shared" si="47"/>
        <v>#DIV/0!</v>
      </c>
      <c r="AE161" s="397"/>
      <c r="AF161" s="398"/>
      <c r="AG161" s="399"/>
      <c r="AH161" s="400" t="e">
        <f t="shared" si="48"/>
        <v>#DIV/0!</v>
      </c>
      <c r="AI161" s="397"/>
    </row>
    <row r="162" spans="1:35" ht="43.15" hidden="1" customHeight="1">
      <c r="A162" s="506"/>
      <c r="B162" s="497"/>
      <c r="C162" s="497"/>
      <c r="D162" s="497"/>
      <c r="E162" s="498"/>
      <c r="F162" s="1090"/>
      <c r="G162" s="1090"/>
      <c r="H162" s="397"/>
      <c r="I162" s="403"/>
      <c r="J162" s="404"/>
      <c r="K162" s="403"/>
      <c r="L162" s="390"/>
      <c r="M162" s="390"/>
      <c r="N162" s="416"/>
      <c r="O162" s="407"/>
      <c r="P162" s="408"/>
      <c r="Q162" s="408"/>
      <c r="R162" s="406"/>
      <c r="S162" s="406"/>
      <c r="T162" s="406"/>
      <c r="U162" s="406"/>
      <c r="V162" s="406"/>
      <c r="W162" s="406"/>
      <c r="X162" s="409"/>
      <c r="Y162" s="599"/>
      <c r="Z162" s="599"/>
      <c r="AA162" s="599"/>
      <c r="AB162" s="401"/>
      <c r="AC162" s="399"/>
      <c r="AD162" s="400" t="e">
        <f t="shared" si="47"/>
        <v>#DIV/0!</v>
      </c>
      <c r="AE162" s="397"/>
      <c r="AF162" s="398"/>
      <c r="AG162" s="399"/>
      <c r="AH162" s="400" t="e">
        <f t="shared" si="48"/>
        <v>#DIV/0!</v>
      </c>
      <c r="AI162" s="397"/>
    </row>
    <row r="163" spans="1:35" ht="43.15" hidden="1" customHeight="1">
      <c r="A163" s="506"/>
      <c r="B163" s="497"/>
      <c r="C163" s="497"/>
      <c r="D163" s="497"/>
      <c r="E163" s="498"/>
      <c r="F163" s="1090"/>
      <c r="G163" s="1090"/>
      <c r="H163" s="397"/>
      <c r="I163" s="403"/>
      <c r="J163" s="404"/>
      <c r="K163" s="403"/>
      <c r="L163" s="390"/>
      <c r="M163" s="390"/>
      <c r="N163" s="416"/>
      <c r="O163" s="407"/>
      <c r="P163" s="408"/>
      <c r="Q163" s="408"/>
      <c r="R163" s="406"/>
      <c r="S163" s="406"/>
      <c r="T163" s="406"/>
      <c r="U163" s="406"/>
      <c r="V163" s="406"/>
      <c r="W163" s="406"/>
      <c r="X163" s="409"/>
      <c r="Y163" s="599"/>
      <c r="Z163" s="599"/>
      <c r="AA163" s="599"/>
      <c r="AB163" s="401"/>
      <c r="AC163" s="399"/>
      <c r="AD163" s="400" t="e">
        <f t="shared" si="47"/>
        <v>#DIV/0!</v>
      </c>
      <c r="AE163" s="397"/>
      <c r="AF163" s="398"/>
      <c r="AG163" s="399"/>
      <c r="AH163" s="400" t="e">
        <f t="shared" si="48"/>
        <v>#DIV/0!</v>
      </c>
      <c r="AI163" s="397"/>
    </row>
    <row r="164" spans="1:35" ht="43.15" hidden="1" customHeight="1">
      <c r="A164" s="506"/>
      <c r="B164" s="497"/>
      <c r="C164" s="497"/>
      <c r="D164" s="497"/>
      <c r="E164" s="498"/>
      <c r="F164" s="1090"/>
      <c r="G164" s="1090"/>
      <c r="H164" s="397"/>
      <c r="I164" s="403"/>
      <c r="J164" s="404"/>
      <c r="K164" s="403"/>
      <c r="L164" s="390"/>
      <c r="M164" s="390"/>
      <c r="N164" s="416"/>
      <c r="O164" s="407"/>
      <c r="P164" s="408"/>
      <c r="Q164" s="408"/>
      <c r="R164" s="406"/>
      <c r="S164" s="406"/>
      <c r="T164" s="406"/>
      <c r="U164" s="406"/>
      <c r="V164" s="406"/>
      <c r="W164" s="406"/>
      <c r="X164" s="409"/>
      <c r="Y164" s="599"/>
      <c r="Z164" s="599"/>
      <c r="AA164" s="599"/>
      <c r="AB164" s="401"/>
      <c r="AC164" s="399"/>
      <c r="AD164" s="400" t="e">
        <f t="shared" si="47"/>
        <v>#DIV/0!</v>
      </c>
      <c r="AE164" s="397"/>
      <c r="AF164" s="398"/>
      <c r="AG164" s="399"/>
      <c r="AH164" s="400" t="e">
        <f t="shared" si="48"/>
        <v>#DIV/0!</v>
      </c>
      <c r="AI164" s="397"/>
    </row>
    <row r="165" spans="1:35" ht="43.15" hidden="1" customHeight="1">
      <c r="A165" s="506"/>
      <c r="B165" s="497"/>
      <c r="C165" s="497"/>
      <c r="D165" s="497"/>
      <c r="E165" s="498"/>
      <c r="F165" s="1090"/>
      <c r="G165" s="1090"/>
      <c r="H165" s="397"/>
      <c r="I165" s="403"/>
      <c r="J165" s="404"/>
      <c r="K165" s="403"/>
      <c r="L165" s="390"/>
      <c r="M165" s="390"/>
      <c r="N165" s="416"/>
      <c r="O165" s="407"/>
      <c r="P165" s="408"/>
      <c r="Q165" s="408"/>
      <c r="R165" s="406"/>
      <c r="S165" s="406"/>
      <c r="T165" s="406"/>
      <c r="U165" s="406"/>
      <c r="V165" s="406"/>
      <c r="W165" s="406"/>
      <c r="X165" s="409"/>
      <c r="Y165" s="599"/>
      <c r="Z165" s="599"/>
      <c r="AA165" s="599"/>
      <c r="AB165" s="401"/>
      <c r="AC165" s="399"/>
      <c r="AD165" s="400" t="e">
        <f t="shared" si="47"/>
        <v>#DIV/0!</v>
      </c>
      <c r="AE165" s="397"/>
      <c r="AF165" s="398"/>
      <c r="AG165" s="399"/>
      <c r="AH165" s="400" t="e">
        <f t="shared" si="48"/>
        <v>#DIV/0!</v>
      </c>
      <c r="AI165" s="397"/>
    </row>
    <row r="166" spans="1:35" ht="43.15" hidden="1" customHeight="1">
      <c r="A166" s="506"/>
      <c r="B166" s="497"/>
      <c r="C166" s="497"/>
      <c r="D166" s="497"/>
      <c r="E166" s="498"/>
      <c r="F166" s="1090"/>
      <c r="G166" s="1090"/>
      <c r="H166" s="397"/>
      <c r="I166" s="403"/>
      <c r="J166" s="404"/>
      <c r="K166" s="403"/>
      <c r="L166" s="390"/>
      <c r="M166" s="390"/>
      <c r="N166" s="416"/>
      <c r="O166" s="407"/>
      <c r="P166" s="408"/>
      <c r="Q166" s="408"/>
      <c r="R166" s="406"/>
      <c r="S166" s="406"/>
      <c r="T166" s="406"/>
      <c r="U166" s="406"/>
      <c r="V166" s="406"/>
      <c r="W166" s="406"/>
      <c r="X166" s="409"/>
      <c r="Y166" s="599"/>
      <c r="Z166" s="599"/>
      <c r="AA166" s="599"/>
      <c r="AB166" s="401"/>
      <c r="AC166" s="399"/>
      <c r="AD166" s="400" t="e">
        <f t="shared" si="47"/>
        <v>#DIV/0!</v>
      </c>
      <c r="AE166" s="397"/>
      <c r="AF166" s="398"/>
      <c r="AG166" s="399"/>
      <c r="AH166" s="400" t="e">
        <f t="shared" si="48"/>
        <v>#DIV/0!</v>
      </c>
      <c r="AI166" s="397"/>
    </row>
    <row r="167" spans="1:35" ht="43.15" hidden="1" customHeight="1">
      <c r="A167" s="506"/>
      <c r="B167" s="497"/>
      <c r="C167" s="497"/>
      <c r="D167" s="497"/>
      <c r="E167" s="498"/>
      <c r="F167" s="1090"/>
      <c r="G167" s="1090"/>
      <c r="H167" s="397"/>
      <c r="I167" s="403"/>
      <c r="J167" s="404"/>
      <c r="K167" s="403"/>
      <c r="L167" s="390"/>
      <c r="M167" s="390"/>
      <c r="N167" s="416"/>
      <c r="O167" s="407"/>
      <c r="P167" s="408"/>
      <c r="Q167" s="408"/>
      <c r="R167" s="406"/>
      <c r="S167" s="406"/>
      <c r="T167" s="406"/>
      <c r="U167" s="406"/>
      <c r="V167" s="406"/>
      <c r="W167" s="406"/>
      <c r="X167" s="409"/>
      <c r="Y167" s="599"/>
      <c r="Z167" s="599"/>
      <c r="AA167" s="599"/>
      <c r="AB167" s="401"/>
      <c r="AC167" s="399"/>
      <c r="AD167" s="400" t="e">
        <f t="shared" si="47"/>
        <v>#DIV/0!</v>
      </c>
      <c r="AE167" s="397"/>
      <c r="AF167" s="398"/>
      <c r="AG167" s="399"/>
      <c r="AH167" s="400" t="e">
        <f t="shared" si="48"/>
        <v>#DIV/0!</v>
      </c>
      <c r="AI167" s="397"/>
    </row>
    <row r="168" spans="1:35" ht="43.15" hidden="1" customHeight="1">
      <c r="A168" s="506"/>
      <c r="B168" s="497"/>
      <c r="C168" s="497"/>
      <c r="D168" s="497"/>
      <c r="E168" s="498"/>
      <c r="F168" s="1090"/>
      <c r="G168" s="1090"/>
      <c r="H168" s="397"/>
      <c r="I168" s="403"/>
      <c r="J168" s="404"/>
      <c r="K168" s="403"/>
      <c r="L168" s="390"/>
      <c r="M168" s="390"/>
      <c r="N168" s="416"/>
      <c r="O168" s="407"/>
      <c r="P168" s="408"/>
      <c r="Q168" s="408"/>
      <c r="R168" s="406"/>
      <c r="S168" s="406"/>
      <c r="T168" s="406"/>
      <c r="U168" s="406"/>
      <c r="V168" s="406"/>
      <c r="W168" s="406"/>
      <c r="X168" s="409"/>
      <c r="Y168" s="599"/>
      <c r="Z168" s="599"/>
      <c r="AA168" s="599"/>
      <c r="AB168" s="401"/>
      <c r="AC168" s="399"/>
      <c r="AD168" s="400" t="e">
        <f t="shared" si="47"/>
        <v>#DIV/0!</v>
      </c>
      <c r="AE168" s="397"/>
      <c r="AF168" s="398"/>
      <c r="AG168" s="399"/>
      <c r="AH168" s="400" t="e">
        <f t="shared" si="48"/>
        <v>#DIV/0!</v>
      </c>
      <c r="AI168" s="397"/>
    </row>
    <row r="169" spans="1:35" ht="19.899999999999999" hidden="1" customHeight="1">
      <c r="A169" s="506"/>
      <c r="B169" s="497"/>
      <c r="C169" s="497"/>
      <c r="D169" s="497"/>
      <c r="E169" s="498"/>
      <c r="F169" s="1090"/>
      <c r="G169" s="1090"/>
      <c r="H169" s="397"/>
      <c r="I169" s="403"/>
      <c r="J169" s="404"/>
      <c r="K169" s="403"/>
      <c r="L169" s="390"/>
      <c r="M169" s="390"/>
      <c r="N169" s="416"/>
      <c r="O169" s="407"/>
      <c r="P169" s="408"/>
      <c r="Q169" s="408"/>
      <c r="R169" s="406"/>
      <c r="S169" s="406"/>
      <c r="T169" s="406"/>
      <c r="U169" s="406"/>
      <c r="V169" s="406"/>
      <c r="W169" s="406"/>
      <c r="X169" s="409"/>
      <c r="Y169" s="599"/>
      <c r="Z169" s="599"/>
      <c r="AA169" s="599"/>
      <c r="AB169" s="401"/>
      <c r="AC169" s="399"/>
      <c r="AD169" s="400" t="e">
        <f t="shared" si="47"/>
        <v>#DIV/0!</v>
      </c>
      <c r="AE169" s="397"/>
      <c r="AF169" s="398"/>
      <c r="AG169" s="399"/>
      <c r="AH169" s="400" t="e">
        <f t="shared" si="48"/>
        <v>#DIV/0!</v>
      </c>
      <c r="AI169" s="397"/>
    </row>
    <row r="170" spans="1:35" ht="19.899999999999999" hidden="1" customHeight="1">
      <c r="A170" s="506"/>
      <c r="B170" s="497"/>
      <c r="C170" s="497"/>
      <c r="D170" s="497"/>
      <c r="E170" s="498"/>
      <c r="F170" s="1090"/>
      <c r="G170" s="1090"/>
      <c r="H170" s="397"/>
      <c r="I170" s="403"/>
      <c r="J170" s="404"/>
      <c r="K170" s="403"/>
      <c r="L170" s="390"/>
      <c r="M170" s="390"/>
      <c r="N170" s="416"/>
      <c r="O170" s="407"/>
      <c r="P170" s="408"/>
      <c r="Q170" s="408"/>
      <c r="R170" s="406"/>
      <c r="S170" s="406"/>
      <c r="T170" s="406"/>
      <c r="U170" s="406"/>
      <c r="V170" s="406"/>
      <c r="W170" s="406"/>
      <c r="X170" s="409"/>
      <c r="Y170" s="599"/>
      <c r="Z170" s="599"/>
      <c r="AA170" s="599"/>
      <c r="AB170" s="401"/>
      <c r="AC170" s="399"/>
      <c r="AD170" s="400" t="e">
        <f t="shared" si="47"/>
        <v>#DIV/0!</v>
      </c>
      <c r="AE170" s="397"/>
      <c r="AF170" s="398"/>
      <c r="AG170" s="399"/>
      <c r="AH170" s="400" t="e">
        <f t="shared" si="48"/>
        <v>#DIV/0!</v>
      </c>
      <c r="AI170" s="397"/>
    </row>
    <row r="171" spans="1:35" ht="19.899999999999999" hidden="1" customHeight="1">
      <c r="A171" s="506"/>
      <c r="B171" s="497"/>
      <c r="C171" s="497"/>
      <c r="D171" s="497"/>
      <c r="E171" s="498"/>
      <c r="F171" s="1090"/>
      <c r="G171" s="1090"/>
      <c r="H171" s="397"/>
      <c r="I171" s="403"/>
      <c r="J171" s="404"/>
      <c r="K171" s="403"/>
      <c r="L171" s="390"/>
      <c r="M171" s="390"/>
      <c r="N171" s="416"/>
      <c r="O171" s="407"/>
      <c r="P171" s="408"/>
      <c r="Q171" s="408"/>
      <c r="R171" s="406"/>
      <c r="S171" s="406"/>
      <c r="T171" s="406"/>
      <c r="U171" s="406"/>
      <c r="V171" s="406"/>
      <c r="W171" s="406"/>
      <c r="X171" s="409"/>
      <c r="Y171" s="599"/>
      <c r="Z171" s="599"/>
      <c r="AA171" s="599"/>
      <c r="AB171" s="401"/>
      <c r="AC171" s="399"/>
      <c r="AD171" s="400" t="e">
        <f t="shared" si="47"/>
        <v>#DIV/0!</v>
      </c>
      <c r="AE171" s="397"/>
      <c r="AF171" s="398"/>
      <c r="AG171" s="399"/>
      <c r="AH171" s="400" t="e">
        <f t="shared" si="48"/>
        <v>#DIV/0!</v>
      </c>
      <c r="AI171" s="397"/>
    </row>
    <row r="172" spans="1:35" ht="19.899999999999999" hidden="1" customHeight="1">
      <c r="A172" s="506"/>
      <c r="B172" s="497"/>
      <c r="C172" s="497"/>
      <c r="D172" s="497"/>
      <c r="E172" s="498"/>
      <c r="F172" s="1090"/>
      <c r="G172" s="1090"/>
      <c r="H172" s="397"/>
      <c r="I172" s="403"/>
      <c r="J172" s="404"/>
      <c r="K172" s="403"/>
      <c r="L172" s="390"/>
      <c r="M172" s="390"/>
      <c r="N172" s="416"/>
      <c r="O172" s="407"/>
      <c r="P172" s="408"/>
      <c r="Q172" s="408"/>
      <c r="R172" s="406"/>
      <c r="S172" s="406"/>
      <c r="T172" s="406"/>
      <c r="U172" s="406"/>
      <c r="V172" s="406"/>
      <c r="W172" s="406"/>
      <c r="X172" s="409"/>
      <c r="Y172" s="599"/>
      <c r="Z172" s="599"/>
      <c r="AA172" s="599"/>
      <c r="AB172" s="401"/>
      <c r="AC172" s="399"/>
      <c r="AD172" s="400" t="e">
        <f t="shared" si="47"/>
        <v>#DIV/0!</v>
      </c>
      <c r="AE172" s="397"/>
      <c r="AF172" s="398"/>
      <c r="AG172" s="399"/>
      <c r="AH172" s="400" t="e">
        <f t="shared" si="48"/>
        <v>#DIV/0!</v>
      </c>
      <c r="AI172" s="397"/>
    </row>
    <row r="173" spans="1:35" ht="19.899999999999999" hidden="1" customHeight="1">
      <c r="A173" s="506"/>
      <c r="B173" s="497"/>
      <c r="C173" s="497"/>
      <c r="D173" s="497"/>
      <c r="E173" s="498"/>
      <c r="F173" s="1090"/>
      <c r="G173" s="1090"/>
      <c r="H173" s="397"/>
      <c r="I173" s="403"/>
      <c r="J173" s="404"/>
      <c r="K173" s="403"/>
      <c r="L173" s="390"/>
      <c r="M173" s="390"/>
      <c r="N173" s="416"/>
      <c r="O173" s="407"/>
      <c r="P173" s="408"/>
      <c r="Q173" s="408"/>
      <c r="R173" s="406"/>
      <c r="S173" s="406"/>
      <c r="T173" s="406"/>
      <c r="U173" s="406"/>
      <c r="V173" s="406"/>
      <c r="W173" s="406"/>
      <c r="X173" s="409"/>
      <c r="Y173" s="599"/>
      <c r="Z173" s="599"/>
      <c r="AA173" s="599"/>
      <c r="AB173" s="401"/>
      <c r="AC173" s="399"/>
      <c r="AD173" s="400" t="e">
        <f t="shared" si="47"/>
        <v>#DIV/0!</v>
      </c>
      <c r="AE173" s="397"/>
      <c r="AF173" s="398"/>
      <c r="AG173" s="399"/>
      <c r="AH173" s="400" t="e">
        <f t="shared" si="48"/>
        <v>#DIV/0!</v>
      </c>
      <c r="AI173" s="397"/>
    </row>
    <row r="174" spans="1:35" ht="19.899999999999999" hidden="1" customHeight="1">
      <c r="A174" s="506"/>
      <c r="B174" s="497"/>
      <c r="C174" s="497"/>
      <c r="D174" s="497"/>
      <c r="E174" s="498"/>
      <c r="F174" s="1090"/>
      <c r="G174" s="1090"/>
      <c r="H174" s="397"/>
      <c r="I174" s="403"/>
      <c r="J174" s="404"/>
      <c r="K174" s="403"/>
      <c r="L174" s="390"/>
      <c r="M174" s="390"/>
      <c r="N174" s="416"/>
      <c r="O174" s="407"/>
      <c r="P174" s="408"/>
      <c r="Q174" s="408"/>
      <c r="R174" s="406"/>
      <c r="S174" s="406"/>
      <c r="T174" s="406"/>
      <c r="U174" s="406"/>
      <c r="V174" s="406"/>
      <c r="W174" s="406"/>
      <c r="X174" s="409"/>
      <c r="Y174" s="599"/>
      <c r="Z174" s="599"/>
      <c r="AA174" s="599"/>
      <c r="AB174" s="401"/>
      <c r="AC174" s="399"/>
      <c r="AD174" s="400" t="e">
        <f t="shared" si="47"/>
        <v>#DIV/0!</v>
      </c>
      <c r="AE174" s="397"/>
      <c r="AF174" s="398"/>
      <c r="AG174" s="399"/>
      <c r="AH174" s="400" t="e">
        <f t="shared" si="48"/>
        <v>#DIV/0!</v>
      </c>
      <c r="AI174" s="397"/>
    </row>
    <row r="175" spans="1:35" ht="19.899999999999999" hidden="1" customHeight="1">
      <c r="A175" s="506"/>
      <c r="B175" s="497"/>
      <c r="C175" s="497"/>
      <c r="D175" s="497"/>
      <c r="E175" s="498"/>
      <c r="F175" s="1090"/>
      <c r="G175" s="1090"/>
      <c r="H175" s="397"/>
      <c r="I175" s="403"/>
      <c r="J175" s="404"/>
      <c r="K175" s="403"/>
      <c r="L175" s="390"/>
      <c r="M175" s="390"/>
      <c r="N175" s="416"/>
      <c r="O175" s="407"/>
      <c r="P175" s="408"/>
      <c r="Q175" s="408"/>
      <c r="R175" s="406"/>
      <c r="S175" s="406"/>
      <c r="T175" s="406"/>
      <c r="U175" s="406"/>
      <c r="V175" s="406"/>
      <c r="W175" s="406"/>
      <c r="X175" s="409"/>
      <c r="Y175" s="599"/>
      <c r="Z175" s="599"/>
      <c r="AA175" s="599"/>
      <c r="AB175" s="401"/>
      <c r="AC175" s="399"/>
      <c r="AD175" s="400" t="e">
        <f t="shared" si="47"/>
        <v>#DIV/0!</v>
      </c>
      <c r="AE175" s="397"/>
      <c r="AF175" s="398"/>
      <c r="AG175" s="399"/>
      <c r="AH175" s="400" t="e">
        <f t="shared" si="48"/>
        <v>#DIV/0!</v>
      </c>
      <c r="AI175" s="397"/>
    </row>
    <row r="176" spans="1:35" ht="19.899999999999999" hidden="1" customHeight="1">
      <c r="A176" s="506"/>
      <c r="B176" s="497"/>
      <c r="C176" s="497"/>
      <c r="D176" s="497"/>
      <c r="E176" s="498"/>
      <c r="F176" s="1090"/>
      <c r="G176" s="1090"/>
      <c r="H176" s="397"/>
      <c r="I176" s="403"/>
      <c r="J176" s="404"/>
      <c r="K176" s="403"/>
      <c r="L176" s="390"/>
      <c r="M176" s="390"/>
      <c r="N176" s="416"/>
      <c r="O176" s="407"/>
      <c r="P176" s="408"/>
      <c r="Q176" s="408"/>
      <c r="R176" s="406"/>
      <c r="S176" s="406"/>
      <c r="T176" s="406"/>
      <c r="U176" s="406"/>
      <c r="V176" s="406"/>
      <c r="W176" s="406"/>
      <c r="X176" s="409"/>
      <c r="Y176" s="599"/>
      <c r="Z176" s="599"/>
      <c r="AA176" s="599"/>
      <c r="AB176" s="401"/>
      <c r="AC176" s="399"/>
      <c r="AD176" s="400" t="e">
        <f t="shared" si="47"/>
        <v>#DIV/0!</v>
      </c>
      <c r="AE176" s="397"/>
      <c r="AF176" s="398"/>
      <c r="AG176" s="399"/>
      <c r="AH176" s="400" t="e">
        <f t="shared" si="48"/>
        <v>#DIV/0!</v>
      </c>
      <c r="AI176" s="397"/>
    </row>
    <row r="177" spans="1:35" ht="19.899999999999999" hidden="1" customHeight="1">
      <c r="A177" s="506"/>
      <c r="B177" s="497"/>
      <c r="C177" s="497"/>
      <c r="D177" s="497"/>
      <c r="E177" s="498"/>
      <c r="F177" s="1090"/>
      <c r="G177" s="1090"/>
      <c r="H177" s="397"/>
      <c r="I177" s="403"/>
      <c r="J177" s="404"/>
      <c r="K177" s="403"/>
      <c r="L177" s="390"/>
      <c r="M177" s="390"/>
      <c r="N177" s="416"/>
      <c r="O177" s="407"/>
      <c r="P177" s="408"/>
      <c r="Q177" s="408"/>
      <c r="R177" s="406"/>
      <c r="S177" s="406"/>
      <c r="T177" s="406"/>
      <c r="U177" s="406"/>
      <c r="V177" s="406"/>
      <c r="W177" s="406"/>
      <c r="X177" s="409"/>
      <c r="Y177" s="599"/>
      <c r="Z177" s="599"/>
      <c r="AA177" s="599"/>
      <c r="AB177" s="401"/>
      <c r="AC177" s="399"/>
      <c r="AD177" s="400" t="e">
        <f t="shared" si="47"/>
        <v>#DIV/0!</v>
      </c>
      <c r="AE177" s="397"/>
      <c r="AF177" s="398"/>
      <c r="AG177" s="399"/>
      <c r="AH177" s="400" t="e">
        <f t="shared" si="48"/>
        <v>#DIV/0!</v>
      </c>
      <c r="AI177" s="397"/>
    </row>
    <row r="178" spans="1:35" ht="19.899999999999999" hidden="1" customHeight="1">
      <c r="A178" s="506"/>
      <c r="B178" s="497"/>
      <c r="C178" s="497"/>
      <c r="D178" s="497"/>
      <c r="E178" s="498"/>
      <c r="F178" s="1090"/>
      <c r="G178" s="1090"/>
      <c r="H178" s="397"/>
      <c r="I178" s="403"/>
      <c r="J178" s="404"/>
      <c r="K178" s="403"/>
      <c r="L178" s="390"/>
      <c r="M178" s="390"/>
      <c r="N178" s="416"/>
      <c r="O178" s="407"/>
      <c r="P178" s="408"/>
      <c r="Q178" s="408"/>
      <c r="R178" s="406"/>
      <c r="S178" s="406"/>
      <c r="T178" s="406"/>
      <c r="U178" s="406"/>
      <c r="V178" s="406"/>
      <c r="W178" s="406"/>
      <c r="X178" s="409"/>
      <c r="Y178" s="599"/>
      <c r="Z178" s="599"/>
      <c r="AA178" s="599"/>
      <c r="AB178" s="401"/>
      <c r="AC178" s="399"/>
      <c r="AD178" s="400" t="e">
        <f t="shared" si="47"/>
        <v>#DIV/0!</v>
      </c>
      <c r="AE178" s="397"/>
      <c r="AF178" s="398"/>
      <c r="AG178" s="399"/>
      <c r="AH178" s="400" t="e">
        <f t="shared" si="48"/>
        <v>#DIV/0!</v>
      </c>
      <c r="AI178" s="397"/>
    </row>
    <row r="179" spans="1:35" ht="19.899999999999999" hidden="1" customHeight="1">
      <c r="A179" s="506"/>
      <c r="B179" s="497"/>
      <c r="C179" s="497"/>
      <c r="D179" s="497"/>
      <c r="E179" s="498"/>
      <c r="F179" s="1090"/>
      <c r="G179" s="1090"/>
      <c r="H179" s="397"/>
      <c r="I179" s="403"/>
      <c r="J179" s="404"/>
      <c r="K179" s="403"/>
      <c r="L179" s="390"/>
      <c r="M179" s="390"/>
      <c r="N179" s="416"/>
      <c r="O179" s="407"/>
      <c r="P179" s="408"/>
      <c r="Q179" s="408"/>
      <c r="R179" s="406"/>
      <c r="S179" s="406"/>
      <c r="T179" s="406"/>
      <c r="U179" s="406"/>
      <c r="V179" s="406"/>
      <c r="W179" s="406"/>
      <c r="X179" s="409"/>
      <c r="Y179" s="599"/>
      <c r="Z179" s="599"/>
      <c r="AA179" s="599"/>
      <c r="AB179" s="401"/>
      <c r="AC179" s="399"/>
      <c r="AD179" s="400" t="e">
        <f t="shared" si="47"/>
        <v>#DIV/0!</v>
      </c>
      <c r="AE179" s="397"/>
      <c r="AF179" s="398"/>
      <c r="AG179" s="399"/>
      <c r="AH179" s="400" t="e">
        <f t="shared" si="48"/>
        <v>#DIV/0!</v>
      </c>
      <c r="AI179" s="397"/>
    </row>
    <row r="180" spans="1:35" ht="19.899999999999999" hidden="1" customHeight="1">
      <c r="A180" s="506"/>
      <c r="B180" s="497"/>
      <c r="C180" s="497"/>
      <c r="D180" s="497"/>
      <c r="E180" s="498"/>
      <c r="F180" s="1090"/>
      <c r="G180" s="1090"/>
      <c r="H180" s="397"/>
      <c r="I180" s="403"/>
      <c r="J180" s="404"/>
      <c r="K180" s="403"/>
      <c r="L180" s="390"/>
      <c r="M180" s="390"/>
      <c r="N180" s="416"/>
      <c r="O180" s="407"/>
      <c r="P180" s="408"/>
      <c r="Q180" s="408"/>
      <c r="R180" s="406"/>
      <c r="S180" s="406"/>
      <c r="T180" s="406"/>
      <c r="U180" s="406"/>
      <c r="V180" s="406"/>
      <c r="W180" s="406"/>
      <c r="X180" s="409"/>
      <c r="Y180" s="599"/>
      <c r="Z180" s="599"/>
      <c r="AA180" s="599"/>
      <c r="AB180" s="401"/>
      <c r="AC180" s="399"/>
      <c r="AD180" s="400" t="e">
        <f t="shared" si="47"/>
        <v>#DIV/0!</v>
      </c>
      <c r="AE180" s="397"/>
      <c r="AF180" s="398"/>
      <c r="AG180" s="399"/>
      <c r="AH180" s="400" t="e">
        <f t="shared" si="48"/>
        <v>#DIV/0!</v>
      </c>
      <c r="AI180" s="397"/>
    </row>
    <row r="181" spans="1:35" ht="19.899999999999999" hidden="1" customHeight="1">
      <c r="A181" s="506"/>
      <c r="B181" s="497"/>
      <c r="C181" s="497"/>
      <c r="D181" s="497"/>
      <c r="E181" s="498"/>
      <c r="F181" s="1090"/>
      <c r="G181" s="1090"/>
      <c r="H181" s="397"/>
      <c r="I181" s="403"/>
      <c r="J181" s="404"/>
      <c r="K181" s="403"/>
      <c r="L181" s="390"/>
      <c r="M181" s="390"/>
      <c r="N181" s="416"/>
      <c r="O181" s="407"/>
      <c r="P181" s="408"/>
      <c r="Q181" s="408"/>
      <c r="R181" s="406"/>
      <c r="S181" s="406"/>
      <c r="T181" s="406"/>
      <c r="U181" s="406"/>
      <c r="V181" s="406"/>
      <c r="W181" s="406"/>
      <c r="X181" s="409"/>
      <c r="Y181" s="599"/>
      <c r="Z181" s="599"/>
      <c r="AA181" s="599"/>
      <c r="AB181" s="401"/>
      <c r="AC181" s="399"/>
      <c r="AD181" s="400" t="e">
        <f t="shared" si="47"/>
        <v>#DIV/0!</v>
      </c>
      <c r="AE181" s="397"/>
      <c r="AF181" s="398"/>
      <c r="AG181" s="399"/>
      <c r="AH181" s="400" t="e">
        <f t="shared" si="48"/>
        <v>#DIV/0!</v>
      </c>
      <c r="AI181" s="397"/>
    </row>
    <row r="182" spans="1:35" ht="19.899999999999999" hidden="1" customHeight="1">
      <c r="A182" s="506"/>
      <c r="B182" s="497"/>
      <c r="C182" s="497"/>
      <c r="D182" s="497"/>
      <c r="E182" s="498"/>
      <c r="F182" s="1090"/>
      <c r="G182" s="1090"/>
      <c r="H182" s="397"/>
      <c r="I182" s="403"/>
      <c r="J182" s="404"/>
      <c r="K182" s="403"/>
      <c r="L182" s="390"/>
      <c r="M182" s="390"/>
      <c r="N182" s="416"/>
      <c r="O182" s="407"/>
      <c r="P182" s="408"/>
      <c r="Q182" s="408"/>
      <c r="R182" s="406"/>
      <c r="S182" s="406"/>
      <c r="T182" s="406"/>
      <c r="U182" s="406"/>
      <c r="V182" s="406"/>
      <c r="W182" s="406"/>
      <c r="X182" s="409"/>
      <c r="Y182" s="599"/>
      <c r="Z182" s="599"/>
      <c r="AA182" s="599"/>
      <c r="AB182" s="401"/>
      <c r="AC182" s="399"/>
      <c r="AD182" s="400" t="e">
        <f t="shared" si="47"/>
        <v>#DIV/0!</v>
      </c>
      <c r="AE182" s="397"/>
      <c r="AF182" s="398"/>
      <c r="AG182" s="399"/>
      <c r="AH182" s="400" t="e">
        <f t="shared" si="48"/>
        <v>#DIV/0!</v>
      </c>
      <c r="AI182" s="397"/>
    </row>
    <row r="183" spans="1:35" ht="19.899999999999999" hidden="1" customHeight="1">
      <c r="A183" s="506"/>
      <c r="B183" s="497"/>
      <c r="C183" s="497"/>
      <c r="D183" s="497"/>
      <c r="E183" s="498"/>
      <c r="F183" s="1090"/>
      <c r="G183" s="1090"/>
      <c r="H183" s="397"/>
      <c r="I183" s="403"/>
      <c r="J183" s="404"/>
      <c r="K183" s="403"/>
      <c r="L183" s="390"/>
      <c r="M183" s="390"/>
      <c r="N183" s="416"/>
      <c r="O183" s="407"/>
      <c r="P183" s="408"/>
      <c r="Q183" s="408"/>
      <c r="R183" s="406"/>
      <c r="S183" s="406"/>
      <c r="T183" s="406"/>
      <c r="U183" s="406"/>
      <c r="V183" s="406"/>
      <c r="W183" s="406"/>
      <c r="X183" s="409"/>
      <c r="Y183" s="599"/>
      <c r="Z183" s="599"/>
      <c r="AA183" s="599"/>
      <c r="AB183" s="401"/>
      <c r="AC183" s="399"/>
      <c r="AD183" s="400" t="e">
        <f t="shared" si="47"/>
        <v>#DIV/0!</v>
      </c>
      <c r="AE183" s="397"/>
      <c r="AF183" s="398"/>
      <c r="AG183" s="399"/>
      <c r="AH183" s="400" t="e">
        <f t="shared" si="48"/>
        <v>#DIV/0!</v>
      </c>
      <c r="AI183" s="397"/>
    </row>
    <row r="184" spans="1:35" ht="19.899999999999999" hidden="1" customHeight="1">
      <c r="A184" s="506"/>
      <c r="B184" s="497"/>
      <c r="C184" s="497"/>
      <c r="D184" s="497"/>
      <c r="E184" s="498"/>
      <c r="F184" s="1090"/>
      <c r="G184" s="1090"/>
      <c r="H184" s="397"/>
      <c r="I184" s="403"/>
      <c r="J184" s="404"/>
      <c r="K184" s="403"/>
      <c r="L184" s="390"/>
      <c r="M184" s="390"/>
      <c r="N184" s="416"/>
      <c r="O184" s="407"/>
      <c r="P184" s="408"/>
      <c r="Q184" s="408"/>
      <c r="R184" s="406"/>
      <c r="S184" s="406"/>
      <c r="T184" s="406"/>
      <c r="U184" s="406"/>
      <c r="V184" s="406"/>
      <c r="W184" s="406"/>
      <c r="X184" s="409"/>
      <c r="Y184" s="599"/>
      <c r="Z184" s="599"/>
      <c r="AA184" s="599"/>
      <c r="AB184" s="401"/>
      <c r="AC184" s="399"/>
      <c r="AD184" s="400" t="e">
        <f t="shared" si="47"/>
        <v>#DIV/0!</v>
      </c>
      <c r="AE184" s="397"/>
      <c r="AF184" s="398"/>
      <c r="AG184" s="399"/>
      <c r="AH184" s="400" t="e">
        <f t="shared" si="48"/>
        <v>#DIV/0!</v>
      </c>
      <c r="AI184" s="397"/>
    </row>
    <row r="185" spans="1:35" ht="19.899999999999999" hidden="1" customHeight="1">
      <c r="A185" s="506"/>
      <c r="B185" s="497"/>
      <c r="C185" s="497"/>
      <c r="D185" s="497"/>
      <c r="E185" s="498"/>
      <c r="F185" s="1090"/>
      <c r="G185" s="1090"/>
      <c r="H185" s="397"/>
      <c r="I185" s="403"/>
      <c r="J185" s="404"/>
      <c r="K185" s="403"/>
      <c r="L185" s="390"/>
      <c r="M185" s="390"/>
      <c r="N185" s="416"/>
      <c r="O185" s="407"/>
      <c r="P185" s="408"/>
      <c r="Q185" s="408"/>
      <c r="R185" s="406"/>
      <c r="S185" s="406"/>
      <c r="T185" s="406"/>
      <c r="U185" s="406"/>
      <c r="V185" s="406"/>
      <c r="W185" s="406"/>
      <c r="X185" s="409"/>
      <c r="Y185" s="599"/>
      <c r="Z185" s="599"/>
      <c r="AA185" s="599"/>
      <c r="AB185" s="401"/>
      <c r="AC185" s="399"/>
      <c r="AD185" s="400" t="e">
        <f t="shared" si="47"/>
        <v>#DIV/0!</v>
      </c>
      <c r="AE185" s="397"/>
      <c r="AF185" s="398"/>
      <c r="AG185" s="399"/>
      <c r="AH185" s="400" t="e">
        <f t="shared" si="48"/>
        <v>#DIV/0!</v>
      </c>
      <c r="AI185" s="397"/>
    </row>
    <row r="186" spans="1:35" ht="19.899999999999999" hidden="1" customHeight="1">
      <c r="A186" s="506"/>
      <c r="B186" s="497"/>
      <c r="C186" s="497"/>
      <c r="D186" s="497"/>
      <c r="E186" s="498"/>
      <c r="F186" s="1090"/>
      <c r="G186" s="1090"/>
      <c r="H186" s="397"/>
      <c r="I186" s="403"/>
      <c r="J186" s="404"/>
      <c r="K186" s="403"/>
      <c r="L186" s="390"/>
      <c r="M186" s="390"/>
      <c r="N186" s="416"/>
      <c r="O186" s="407"/>
      <c r="P186" s="408"/>
      <c r="Q186" s="408"/>
      <c r="R186" s="406"/>
      <c r="S186" s="406"/>
      <c r="T186" s="406"/>
      <c r="U186" s="406"/>
      <c r="V186" s="406"/>
      <c r="W186" s="406"/>
      <c r="X186" s="409"/>
      <c r="Y186" s="599"/>
      <c r="Z186" s="599"/>
      <c r="AA186" s="599"/>
      <c r="AB186" s="401"/>
      <c r="AC186" s="399"/>
      <c r="AD186" s="400" t="e">
        <f t="shared" si="47"/>
        <v>#DIV/0!</v>
      </c>
      <c r="AE186" s="397"/>
      <c r="AF186" s="398"/>
      <c r="AG186" s="399"/>
      <c r="AH186" s="400" t="e">
        <f t="shared" si="48"/>
        <v>#DIV/0!</v>
      </c>
      <c r="AI186" s="397"/>
    </row>
    <row r="187" spans="1:35" ht="19.899999999999999" hidden="1" customHeight="1">
      <c r="A187" s="506"/>
      <c r="B187" s="497"/>
      <c r="C187" s="497"/>
      <c r="D187" s="497"/>
      <c r="E187" s="498"/>
      <c r="F187" s="1090"/>
      <c r="G187" s="1090"/>
      <c r="H187" s="397"/>
      <c r="I187" s="403"/>
      <c r="J187" s="404"/>
      <c r="K187" s="403"/>
      <c r="L187" s="390"/>
      <c r="M187" s="390"/>
      <c r="N187" s="416"/>
      <c r="O187" s="407"/>
      <c r="P187" s="408"/>
      <c r="Q187" s="408"/>
      <c r="R187" s="406"/>
      <c r="S187" s="406"/>
      <c r="T187" s="406"/>
      <c r="U187" s="406"/>
      <c r="V187" s="406"/>
      <c r="W187" s="406"/>
      <c r="X187" s="409"/>
      <c r="Y187" s="599"/>
      <c r="Z187" s="599"/>
      <c r="AA187" s="599"/>
      <c r="AB187" s="401"/>
      <c r="AC187" s="399"/>
      <c r="AD187" s="400" t="e">
        <f t="shared" si="47"/>
        <v>#DIV/0!</v>
      </c>
      <c r="AE187" s="397"/>
      <c r="AF187" s="398"/>
      <c r="AG187" s="399"/>
      <c r="AH187" s="400" t="e">
        <f t="shared" si="48"/>
        <v>#DIV/0!</v>
      </c>
      <c r="AI187" s="397"/>
    </row>
    <row r="188" spans="1:35" ht="19.899999999999999" hidden="1" customHeight="1">
      <c r="A188" s="506"/>
      <c r="B188" s="497"/>
      <c r="C188" s="497"/>
      <c r="D188" s="497"/>
      <c r="E188" s="498"/>
      <c r="F188" s="1090"/>
      <c r="G188" s="1090"/>
      <c r="H188" s="397"/>
      <c r="I188" s="403"/>
      <c r="J188" s="404"/>
      <c r="K188" s="403"/>
      <c r="L188" s="390"/>
      <c r="M188" s="390"/>
      <c r="N188" s="416"/>
      <c r="O188" s="407"/>
      <c r="P188" s="408"/>
      <c r="Q188" s="408"/>
      <c r="R188" s="406"/>
      <c r="S188" s="406"/>
      <c r="T188" s="406"/>
      <c r="U188" s="406"/>
      <c r="V188" s="406"/>
      <c r="W188" s="406"/>
      <c r="X188" s="409"/>
      <c r="Y188" s="599"/>
      <c r="Z188" s="599"/>
      <c r="AA188" s="599"/>
      <c r="AB188" s="401"/>
      <c r="AC188" s="399"/>
      <c r="AD188" s="400" t="e">
        <f t="shared" si="47"/>
        <v>#DIV/0!</v>
      </c>
      <c r="AE188" s="397"/>
      <c r="AF188" s="398"/>
      <c r="AG188" s="399"/>
      <c r="AH188" s="400" t="e">
        <f t="shared" si="48"/>
        <v>#DIV/0!</v>
      </c>
      <c r="AI188" s="397"/>
    </row>
    <row r="189" spans="1:35" ht="19.899999999999999" hidden="1" customHeight="1">
      <c r="A189" s="506"/>
      <c r="B189" s="497"/>
      <c r="C189" s="497"/>
      <c r="D189" s="497"/>
      <c r="E189" s="498"/>
      <c r="F189" s="1090"/>
      <c r="G189" s="1090"/>
      <c r="H189" s="397"/>
      <c r="I189" s="403"/>
      <c r="J189" s="404"/>
      <c r="K189" s="403"/>
      <c r="L189" s="390"/>
      <c r="M189" s="390"/>
      <c r="N189" s="416"/>
      <c r="O189" s="407"/>
      <c r="P189" s="408"/>
      <c r="Q189" s="408"/>
      <c r="R189" s="406"/>
      <c r="S189" s="406"/>
      <c r="T189" s="406"/>
      <c r="U189" s="406"/>
      <c r="V189" s="406"/>
      <c r="W189" s="406"/>
      <c r="X189" s="409"/>
      <c r="Y189" s="599"/>
      <c r="Z189" s="599"/>
      <c r="AA189" s="599"/>
      <c r="AB189" s="401"/>
      <c r="AC189" s="399"/>
      <c r="AD189" s="400" t="e">
        <f t="shared" si="47"/>
        <v>#DIV/0!</v>
      </c>
      <c r="AE189" s="397"/>
      <c r="AF189" s="398"/>
      <c r="AG189" s="399"/>
      <c r="AH189" s="400" t="e">
        <f t="shared" si="48"/>
        <v>#DIV/0!</v>
      </c>
      <c r="AI189" s="397"/>
    </row>
    <row r="190" spans="1:35" ht="19.899999999999999" hidden="1" customHeight="1">
      <c r="A190" s="506"/>
      <c r="B190" s="497"/>
      <c r="C190" s="497"/>
      <c r="D190" s="497"/>
      <c r="E190" s="498"/>
      <c r="F190" s="1090"/>
      <c r="G190" s="1090"/>
      <c r="H190" s="397"/>
      <c r="I190" s="403"/>
      <c r="J190" s="404"/>
      <c r="K190" s="403"/>
      <c r="L190" s="390"/>
      <c r="M190" s="390"/>
      <c r="N190" s="416"/>
      <c r="O190" s="407"/>
      <c r="P190" s="408"/>
      <c r="Q190" s="408"/>
      <c r="R190" s="406"/>
      <c r="S190" s="406"/>
      <c r="T190" s="406"/>
      <c r="U190" s="406"/>
      <c r="V190" s="406"/>
      <c r="W190" s="406"/>
      <c r="X190" s="409"/>
      <c r="Y190" s="599"/>
      <c r="Z190" s="599"/>
      <c r="AA190" s="599"/>
      <c r="AB190" s="401"/>
      <c r="AC190" s="399"/>
      <c r="AD190" s="400" t="e">
        <f t="shared" si="47"/>
        <v>#DIV/0!</v>
      </c>
      <c r="AE190" s="397"/>
      <c r="AF190" s="398"/>
      <c r="AG190" s="399"/>
      <c r="AH190" s="400" t="e">
        <f t="shared" si="48"/>
        <v>#DIV/0!</v>
      </c>
      <c r="AI190" s="397"/>
    </row>
    <row r="191" spans="1:35" ht="19.899999999999999" hidden="1" customHeight="1">
      <c r="A191" s="506"/>
      <c r="B191" s="497"/>
      <c r="C191" s="497"/>
      <c r="D191" s="497"/>
      <c r="E191" s="498"/>
      <c r="F191" s="1090"/>
      <c r="G191" s="1090"/>
      <c r="H191" s="397"/>
      <c r="I191" s="403"/>
      <c r="J191" s="404"/>
      <c r="K191" s="403"/>
      <c r="L191" s="390"/>
      <c r="M191" s="390"/>
      <c r="N191" s="416"/>
      <c r="O191" s="407"/>
      <c r="P191" s="408"/>
      <c r="Q191" s="408"/>
      <c r="R191" s="406"/>
      <c r="S191" s="406"/>
      <c r="T191" s="406"/>
      <c r="U191" s="406"/>
      <c r="V191" s="406"/>
      <c r="W191" s="406"/>
      <c r="X191" s="409"/>
      <c r="Y191" s="599"/>
      <c r="Z191" s="599"/>
      <c r="AA191" s="599"/>
      <c r="AB191" s="401"/>
      <c r="AC191" s="399"/>
      <c r="AD191" s="400" t="e">
        <f t="shared" si="47"/>
        <v>#DIV/0!</v>
      </c>
      <c r="AE191" s="397"/>
      <c r="AF191" s="398"/>
      <c r="AG191" s="399"/>
      <c r="AH191" s="400" t="e">
        <f t="shared" si="48"/>
        <v>#DIV/0!</v>
      </c>
      <c r="AI191" s="397"/>
    </row>
    <row r="192" spans="1:35" ht="19.899999999999999" hidden="1" customHeight="1">
      <c r="A192" s="506"/>
      <c r="B192" s="497"/>
      <c r="C192" s="497"/>
      <c r="D192" s="497"/>
      <c r="E192" s="498"/>
      <c r="F192" s="1090"/>
      <c r="G192" s="1090"/>
      <c r="H192" s="397"/>
      <c r="I192" s="403"/>
      <c r="J192" s="404"/>
      <c r="K192" s="403"/>
      <c r="L192" s="390"/>
      <c r="M192" s="390"/>
      <c r="N192" s="416"/>
      <c r="O192" s="407"/>
      <c r="P192" s="408"/>
      <c r="Q192" s="408"/>
      <c r="R192" s="406"/>
      <c r="S192" s="406"/>
      <c r="T192" s="406"/>
      <c r="U192" s="406"/>
      <c r="V192" s="406"/>
      <c r="W192" s="406"/>
      <c r="X192" s="409"/>
      <c r="Y192" s="599"/>
      <c r="Z192" s="599"/>
      <c r="AA192" s="599"/>
      <c r="AB192" s="401"/>
      <c r="AC192" s="399"/>
      <c r="AD192" s="400" t="e">
        <f t="shared" si="47"/>
        <v>#DIV/0!</v>
      </c>
      <c r="AE192" s="397"/>
      <c r="AF192" s="398"/>
      <c r="AG192" s="399"/>
      <c r="AH192" s="400" t="e">
        <f t="shared" si="48"/>
        <v>#DIV/0!</v>
      </c>
      <c r="AI192" s="397"/>
    </row>
    <row r="193" spans="1:35" ht="19.899999999999999" hidden="1" customHeight="1">
      <c r="A193" s="506"/>
      <c r="B193" s="497"/>
      <c r="C193" s="497"/>
      <c r="D193" s="497"/>
      <c r="E193" s="498"/>
      <c r="F193" s="1090"/>
      <c r="G193" s="1090"/>
      <c r="H193" s="397"/>
      <c r="I193" s="403"/>
      <c r="J193" s="404"/>
      <c r="K193" s="403"/>
      <c r="L193" s="390"/>
      <c r="M193" s="390"/>
      <c r="N193" s="416"/>
      <c r="O193" s="407"/>
      <c r="P193" s="408"/>
      <c r="Q193" s="408"/>
      <c r="R193" s="406"/>
      <c r="S193" s="406"/>
      <c r="T193" s="406"/>
      <c r="U193" s="406"/>
      <c r="V193" s="406"/>
      <c r="W193" s="406"/>
      <c r="X193" s="409"/>
      <c r="Y193" s="599"/>
      <c r="Z193" s="599"/>
      <c r="AA193" s="599"/>
      <c r="AB193" s="401"/>
      <c r="AC193" s="399"/>
      <c r="AD193" s="400" t="e">
        <f t="shared" si="47"/>
        <v>#DIV/0!</v>
      </c>
      <c r="AE193" s="397"/>
      <c r="AF193" s="398"/>
      <c r="AG193" s="399"/>
      <c r="AH193" s="400" t="e">
        <f t="shared" si="48"/>
        <v>#DIV/0!</v>
      </c>
      <c r="AI193" s="397"/>
    </row>
    <row r="194" spans="1:35" ht="19.899999999999999" hidden="1" customHeight="1">
      <c r="A194" s="506"/>
      <c r="B194" s="497"/>
      <c r="C194" s="497"/>
      <c r="D194" s="497"/>
      <c r="E194" s="498"/>
      <c r="F194" s="1090"/>
      <c r="G194" s="1090"/>
      <c r="H194" s="397"/>
      <c r="I194" s="403"/>
      <c r="J194" s="404"/>
      <c r="K194" s="403"/>
      <c r="L194" s="390"/>
      <c r="M194" s="390"/>
      <c r="N194" s="416"/>
      <c r="O194" s="407"/>
      <c r="P194" s="408"/>
      <c r="Q194" s="408"/>
      <c r="R194" s="406"/>
      <c r="S194" s="406"/>
      <c r="T194" s="406"/>
      <c r="U194" s="406"/>
      <c r="V194" s="406"/>
      <c r="W194" s="406"/>
      <c r="X194" s="409"/>
      <c r="Y194" s="599"/>
      <c r="Z194" s="599"/>
      <c r="AA194" s="599"/>
      <c r="AB194" s="401"/>
      <c r="AC194" s="399"/>
      <c r="AD194" s="400" t="e">
        <f t="shared" si="47"/>
        <v>#DIV/0!</v>
      </c>
      <c r="AE194" s="397"/>
      <c r="AF194" s="398"/>
      <c r="AG194" s="399"/>
      <c r="AH194" s="400" t="e">
        <f t="shared" si="48"/>
        <v>#DIV/0!</v>
      </c>
      <c r="AI194" s="397"/>
    </row>
    <row r="195" spans="1:35" ht="19.899999999999999" hidden="1" customHeight="1">
      <c r="A195" s="506"/>
      <c r="B195" s="497"/>
      <c r="C195" s="497"/>
      <c r="D195" s="497"/>
      <c r="E195" s="498"/>
      <c r="F195" s="1090"/>
      <c r="G195" s="1090"/>
      <c r="H195" s="397"/>
      <c r="I195" s="403"/>
      <c r="J195" s="404"/>
      <c r="K195" s="403"/>
      <c r="L195" s="390"/>
      <c r="M195" s="390"/>
      <c r="N195" s="416"/>
      <c r="O195" s="407"/>
      <c r="P195" s="408"/>
      <c r="Q195" s="408"/>
      <c r="R195" s="406"/>
      <c r="S195" s="406"/>
      <c r="T195" s="406"/>
      <c r="U195" s="406"/>
      <c r="V195" s="406"/>
      <c r="W195" s="406"/>
      <c r="X195" s="409"/>
      <c r="Y195" s="599"/>
      <c r="Z195" s="599"/>
      <c r="AA195" s="599"/>
      <c r="AB195" s="401"/>
      <c r="AC195" s="399"/>
      <c r="AD195" s="400" t="e">
        <f t="shared" si="47"/>
        <v>#DIV/0!</v>
      </c>
      <c r="AE195" s="397"/>
      <c r="AF195" s="398"/>
      <c r="AG195" s="399"/>
      <c r="AH195" s="400" t="e">
        <f t="shared" si="48"/>
        <v>#DIV/0!</v>
      </c>
      <c r="AI195" s="397"/>
    </row>
    <row r="196" spans="1:35" ht="19.899999999999999" hidden="1" customHeight="1">
      <c r="A196" s="506"/>
      <c r="B196" s="497"/>
      <c r="C196" s="497"/>
      <c r="D196" s="497"/>
      <c r="E196" s="498"/>
      <c r="F196" s="1090"/>
      <c r="G196" s="1090"/>
      <c r="H196" s="397"/>
      <c r="I196" s="403"/>
      <c r="J196" s="404"/>
      <c r="K196" s="403"/>
      <c r="L196" s="390"/>
      <c r="M196" s="390"/>
      <c r="N196" s="416"/>
      <c r="O196" s="407"/>
      <c r="P196" s="408"/>
      <c r="Q196" s="408"/>
      <c r="R196" s="406"/>
      <c r="S196" s="406"/>
      <c r="T196" s="406"/>
      <c r="U196" s="406"/>
      <c r="V196" s="406"/>
      <c r="W196" s="406"/>
      <c r="X196" s="409"/>
      <c r="Y196" s="599"/>
      <c r="Z196" s="599"/>
      <c r="AA196" s="599"/>
      <c r="AB196" s="401"/>
      <c r="AC196" s="399"/>
      <c r="AD196" s="400" t="e">
        <f t="shared" si="47"/>
        <v>#DIV/0!</v>
      </c>
      <c r="AE196" s="397"/>
      <c r="AF196" s="398"/>
      <c r="AG196" s="399"/>
      <c r="AH196" s="400" t="e">
        <f t="shared" si="48"/>
        <v>#DIV/0!</v>
      </c>
      <c r="AI196" s="397"/>
    </row>
    <row r="197" spans="1:35" ht="19.899999999999999" hidden="1" customHeight="1">
      <c r="A197" s="506"/>
      <c r="B197" s="497"/>
      <c r="C197" s="497"/>
      <c r="D197" s="497"/>
      <c r="E197" s="498"/>
      <c r="F197" s="1090"/>
      <c r="G197" s="1090"/>
      <c r="H197" s="397"/>
      <c r="I197" s="403"/>
      <c r="J197" s="404"/>
      <c r="K197" s="403"/>
      <c r="L197" s="390"/>
      <c r="M197" s="390"/>
      <c r="N197" s="416"/>
      <c r="O197" s="407"/>
      <c r="P197" s="408"/>
      <c r="Q197" s="408"/>
      <c r="R197" s="406"/>
      <c r="S197" s="406"/>
      <c r="T197" s="406"/>
      <c r="U197" s="406"/>
      <c r="V197" s="406"/>
      <c r="W197" s="406"/>
      <c r="X197" s="409"/>
      <c r="Y197" s="599"/>
      <c r="Z197" s="599"/>
      <c r="AA197" s="599"/>
      <c r="AB197" s="401"/>
      <c r="AC197" s="399"/>
      <c r="AD197" s="400" t="e">
        <f t="shared" si="47"/>
        <v>#DIV/0!</v>
      </c>
      <c r="AE197" s="397"/>
      <c r="AF197" s="398"/>
      <c r="AG197" s="399"/>
      <c r="AH197" s="400" t="e">
        <f t="shared" si="48"/>
        <v>#DIV/0!</v>
      </c>
      <c r="AI197" s="397"/>
    </row>
    <row r="198" spans="1:35" ht="19.899999999999999" hidden="1" customHeight="1">
      <c r="A198" s="506"/>
      <c r="B198" s="497"/>
      <c r="C198" s="497"/>
      <c r="D198" s="497"/>
      <c r="E198" s="498"/>
      <c r="F198" s="1090"/>
      <c r="G198" s="1090"/>
      <c r="H198" s="397"/>
      <c r="I198" s="403"/>
      <c r="J198" s="404"/>
      <c r="K198" s="403"/>
      <c r="L198" s="390"/>
      <c r="M198" s="390"/>
      <c r="N198" s="416"/>
      <c r="O198" s="407"/>
      <c r="P198" s="408"/>
      <c r="Q198" s="408"/>
      <c r="R198" s="406"/>
      <c r="S198" s="406"/>
      <c r="T198" s="406"/>
      <c r="U198" s="406"/>
      <c r="V198" s="406"/>
      <c r="W198" s="406"/>
      <c r="X198" s="409"/>
      <c r="Y198" s="599"/>
      <c r="Z198" s="599"/>
      <c r="AA198" s="599"/>
      <c r="AB198" s="401"/>
      <c r="AC198" s="399"/>
      <c r="AD198" s="400" t="e">
        <f t="shared" si="47"/>
        <v>#DIV/0!</v>
      </c>
      <c r="AE198" s="397"/>
      <c r="AF198" s="398"/>
      <c r="AG198" s="399"/>
      <c r="AH198" s="400" t="e">
        <f t="shared" si="48"/>
        <v>#DIV/0!</v>
      </c>
      <c r="AI198" s="397"/>
    </row>
    <row r="199" spans="1:35" ht="19.899999999999999" hidden="1" customHeight="1">
      <c r="A199" s="506"/>
      <c r="B199" s="497"/>
      <c r="C199" s="497"/>
      <c r="D199" s="497"/>
      <c r="E199" s="498"/>
      <c r="F199" s="1090"/>
      <c r="G199" s="1090"/>
      <c r="H199" s="397"/>
      <c r="I199" s="403"/>
      <c r="J199" s="404"/>
      <c r="K199" s="403"/>
      <c r="L199" s="390"/>
      <c r="M199" s="390"/>
      <c r="N199" s="416"/>
      <c r="O199" s="407"/>
      <c r="P199" s="408"/>
      <c r="Q199" s="408"/>
      <c r="R199" s="406"/>
      <c r="S199" s="406"/>
      <c r="T199" s="406"/>
      <c r="U199" s="406"/>
      <c r="V199" s="406"/>
      <c r="W199" s="406"/>
      <c r="X199" s="409"/>
      <c r="Y199" s="599"/>
      <c r="Z199" s="599"/>
      <c r="AA199" s="599"/>
      <c r="AB199" s="401"/>
      <c r="AC199" s="399"/>
      <c r="AD199" s="400" t="e">
        <f t="shared" si="47"/>
        <v>#DIV/0!</v>
      </c>
      <c r="AE199" s="397"/>
      <c r="AF199" s="398"/>
      <c r="AG199" s="399"/>
      <c r="AH199" s="400" t="e">
        <f t="shared" si="48"/>
        <v>#DIV/0!</v>
      </c>
      <c r="AI199" s="397"/>
    </row>
    <row r="200" spans="1:35" ht="19.899999999999999" hidden="1" customHeight="1">
      <c r="A200" s="506"/>
      <c r="B200" s="497"/>
      <c r="C200" s="497"/>
      <c r="D200" s="497"/>
      <c r="E200" s="498"/>
      <c r="F200" s="1090"/>
      <c r="G200" s="1090"/>
      <c r="H200" s="397"/>
      <c r="I200" s="403"/>
      <c r="J200" s="404"/>
      <c r="K200" s="403"/>
      <c r="L200" s="390"/>
      <c r="M200" s="390"/>
      <c r="N200" s="416"/>
      <c r="O200" s="407"/>
      <c r="P200" s="408"/>
      <c r="Q200" s="408"/>
      <c r="R200" s="406"/>
      <c r="S200" s="406"/>
      <c r="T200" s="406"/>
      <c r="U200" s="406"/>
      <c r="V200" s="406"/>
      <c r="W200" s="406"/>
      <c r="X200" s="409"/>
      <c r="Y200" s="600"/>
      <c r="Z200" s="600"/>
      <c r="AA200" s="600"/>
      <c r="AB200" s="532"/>
      <c r="AC200" s="533"/>
      <c r="AD200" s="534" t="e">
        <f t="shared" si="47"/>
        <v>#DIV/0!</v>
      </c>
      <c r="AE200" s="535"/>
      <c r="AF200" s="536"/>
      <c r="AG200" s="533"/>
      <c r="AH200" s="534" t="e">
        <f t="shared" si="48"/>
        <v>#DIV/0!</v>
      </c>
      <c r="AI200" s="535"/>
    </row>
    <row r="201" spans="1:35" ht="19.899999999999999" hidden="1" customHeight="1">
      <c r="B201" s="417"/>
      <c r="C201" s="417"/>
      <c r="D201" s="417"/>
      <c r="E201" s="418"/>
      <c r="F201" s="1091"/>
      <c r="G201" s="1091"/>
      <c r="H201" s="419"/>
      <c r="I201" s="419"/>
      <c r="J201" s="420"/>
      <c r="K201" s="419"/>
      <c r="L201" s="421"/>
      <c r="M201" s="421"/>
      <c r="N201" s="421"/>
      <c r="O201" s="422"/>
      <c r="P201" s="423"/>
      <c r="Q201" s="423"/>
      <c r="R201" s="422"/>
      <c r="S201" s="422"/>
      <c r="T201" s="422"/>
      <c r="U201" s="422"/>
      <c r="V201" s="422"/>
      <c r="W201" s="422"/>
      <c r="X201" s="422"/>
      <c r="Y201" s="422"/>
      <c r="Z201" s="422"/>
      <c r="AA201" s="422"/>
      <c r="AB201" s="422"/>
      <c r="AC201" s="424"/>
      <c r="AD201" s="425"/>
      <c r="AE201" s="419"/>
      <c r="AF201" s="423"/>
      <c r="AG201" s="424"/>
      <c r="AH201" s="425"/>
      <c r="AI201" s="419"/>
    </row>
    <row r="202" spans="1:35" ht="19.899999999999999" hidden="1" customHeight="1">
      <c r="B202" s="417"/>
      <c r="C202" s="417"/>
      <c r="D202" s="417"/>
      <c r="E202" s="418"/>
      <c r="F202" s="1091"/>
      <c r="G202" s="1091"/>
      <c r="H202" s="419"/>
      <c r="I202" s="419"/>
      <c r="J202" s="420"/>
      <c r="K202" s="419"/>
      <c r="L202" s="421"/>
      <c r="M202" s="421"/>
      <c r="N202" s="421"/>
      <c r="O202" s="422"/>
      <c r="P202" s="423"/>
      <c r="Q202" s="423"/>
      <c r="R202" s="422"/>
      <c r="S202" s="422"/>
      <c r="T202" s="422"/>
      <c r="U202" s="422"/>
      <c r="V202" s="422"/>
      <c r="W202" s="422"/>
      <c r="X202" s="422"/>
      <c r="Y202" s="422"/>
      <c r="Z202" s="422"/>
      <c r="AA202" s="422"/>
      <c r="AB202" s="422"/>
      <c r="AC202" s="424"/>
      <c r="AD202" s="425"/>
      <c r="AE202" s="419"/>
      <c r="AF202" s="423"/>
      <c r="AG202" s="424"/>
      <c r="AH202" s="425"/>
      <c r="AI202" s="419"/>
    </row>
    <row r="203" spans="1:35" ht="19.899999999999999" hidden="1" customHeight="1">
      <c r="B203" s="417"/>
      <c r="C203" s="417"/>
      <c r="D203" s="417"/>
      <c r="E203" s="418"/>
      <c r="F203" s="1091"/>
      <c r="G203" s="1091"/>
      <c r="H203" s="419"/>
      <c r="I203" s="419"/>
      <c r="J203" s="420"/>
      <c r="K203" s="419"/>
      <c r="L203" s="421"/>
      <c r="M203" s="421"/>
      <c r="N203" s="421"/>
      <c r="O203" s="422"/>
      <c r="P203" s="423"/>
      <c r="Q203" s="423"/>
      <c r="R203" s="422"/>
      <c r="S203" s="422"/>
      <c r="T203" s="422"/>
      <c r="U203" s="422"/>
      <c r="V203" s="422"/>
      <c r="W203" s="422"/>
      <c r="X203" s="422"/>
      <c r="Y203" s="422"/>
      <c r="Z203" s="422"/>
      <c r="AA203" s="422"/>
      <c r="AB203" s="422"/>
      <c r="AC203" s="424"/>
      <c r="AD203" s="425"/>
      <c r="AE203" s="419"/>
      <c r="AF203" s="423"/>
      <c r="AG203" s="424"/>
      <c r="AH203" s="425"/>
      <c r="AI203" s="419"/>
    </row>
    <row r="204" spans="1:35" ht="19.899999999999999" hidden="1" customHeight="1">
      <c r="B204" s="417"/>
      <c r="C204" s="417"/>
      <c r="D204" s="417"/>
      <c r="E204" s="418"/>
      <c r="F204" s="1091"/>
      <c r="G204" s="1091"/>
      <c r="H204" s="419"/>
      <c r="I204" s="419"/>
      <c r="J204" s="420"/>
      <c r="K204" s="419"/>
      <c r="L204" s="421"/>
      <c r="M204" s="421"/>
      <c r="N204" s="421"/>
      <c r="O204" s="422"/>
      <c r="P204" s="423"/>
      <c r="Q204" s="423"/>
      <c r="R204" s="422"/>
      <c r="S204" s="422"/>
      <c r="T204" s="422"/>
      <c r="U204" s="422"/>
      <c r="V204" s="422"/>
      <c r="W204" s="422"/>
      <c r="X204" s="422"/>
      <c r="Y204" s="422"/>
      <c r="Z204" s="422"/>
      <c r="AA204" s="422"/>
      <c r="AB204" s="422"/>
      <c r="AC204" s="424"/>
      <c r="AD204" s="425"/>
      <c r="AE204" s="419"/>
      <c r="AF204" s="423"/>
      <c r="AG204" s="424"/>
      <c r="AH204" s="425"/>
      <c r="AI204" s="419"/>
    </row>
    <row r="205" spans="1:35" hidden="1"/>
    <row r="206" spans="1:35" hidden="1"/>
    <row r="207" spans="1:35" hidden="1"/>
    <row r="208" spans="1:35" hidden="1"/>
    <row r="209" spans="12:14" hidden="1"/>
    <row r="210" spans="12:14" hidden="1"/>
    <row r="211" spans="12:14" hidden="1"/>
    <row r="212" spans="12:14" ht="15" hidden="1">
      <c r="L212" s="382" t="s">
        <v>364</v>
      </c>
      <c r="N212" s="385" t="s">
        <v>350</v>
      </c>
    </row>
    <row r="213" spans="12:14" ht="15" hidden="1">
      <c r="N213" s="386"/>
    </row>
    <row r="214" spans="12:14" ht="15" hidden="1">
      <c r="L214" s="382" t="s">
        <v>365</v>
      </c>
      <c r="N214" s="530" t="s">
        <v>134</v>
      </c>
    </row>
    <row r="215" spans="12:14" ht="15" hidden="1">
      <c r="L215" s="382" t="s">
        <v>366</v>
      </c>
      <c r="N215" s="530" t="s">
        <v>378</v>
      </c>
    </row>
    <row r="216" spans="12:14" ht="15" hidden="1">
      <c r="L216" s="382" t="s">
        <v>367</v>
      </c>
      <c r="N216" s="530" t="s">
        <v>205</v>
      </c>
    </row>
    <row r="217" spans="12:14" ht="15" hidden="1">
      <c r="L217" s="382" t="s">
        <v>368</v>
      </c>
      <c r="N217" s="530" t="s">
        <v>362</v>
      </c>
    </row>
    <row r="218" spans="12:14" ht="15" hidden="1">
      <c r="L218" s="382" t="s">
        <v>369</v>
      </c>
      <c r="N218" s="530" t="s">
        <v>379</v>
      </c>
    </row>
    <row r="219" spans="12:14" ht="15" hidden="1">
      <c r="L219" s="382" t="s">
        <v>229</v>
      </c>
      <c r="N219" s="530" t="s">
        <v>380</v>
      </c>
    </row>
    <row r="220" spans="12:14" ht="15" hidden="1">
      <c r="L220" s="382" t="s">
        <v>230</v>
      </c>
      <c r="N220" s="530" t="s">
        <v>351</v>
      </c>
    </row>
    <row r="221" spans="12:14" ht="15" hidden="1">
      <c r="L221" s="382" t="s">
        <v>231</v>
      </c>
      <c r="N221" s="530" t="s">
        <v>352</v>
      </c>
    </row>
    <row r="222" spans="12:14" ht="15" hidden="1">
      <c r="L222" s="382" t="s">
        <v>370</v>
      </c>
      <c r="N222" s="530" t="s">
        <v>432</v>
      </c>
    </row>
    <row r="223" spans="12:14" ht="15" hidden="1">
      <c r="L223" s="382" t="s">
        <v>363</v>
      </c>
      <c r="N223" s="530" t="s">
        <v>435</v>
      </c>
    </row>
    <row r="224" spans="12:14" ht="15" hidden="1">
      <c r="N224" s="530" t="s">
        <v>436</v>
      </c>
    </row>
    <row r="225" spans="13:14" ht="15" hidden="1">
      <c r="N225" s="530" t="s">
        <v>437</v>
      </c>
    </row>
    <row r="226" spans="13:14" ht="15" hidden="1">
      <c r="N226" s="530" t="s">
        <v>440</v>
      </c>
    </row>
    <row r="227" spans="13:14" ht="15" hidden="1">
      <c r="N227" s="530" t="s">
        <v>354</v>
      </c>
    </row>
    <row r="228" spans="13:14" ht="15" hidden="1">
      <c r="N228" s="530" t="s">
        <v>441</v>
      </c>
    </row>
    <row r="229" spans="13:14" ht="15" hidden="1">
      <c r="N229" s="530" t="s">
        <v>173</v>
      </c>
    </row>
    <row r="230" spans="13:14" ht="15" hidden="1">
      <c r="N230" s="530" t="s">
        <v>100</v>
      </c>
    </row>
    <row r="231" spans="13:14" ht="15" hidden="1">
      <c r="N231" s="530" t="s">
        <v>462</v>
      </c>
    </row>
    <row r="232" spans="13:14" ht="15" hidden="1">
      <c r="M232" s="387"/>
      <c r="N232" s="530" t="s">
        <v>188</v>
      </c>
    </row>
    <row r="233" spans="13:14" ht="15" hidden="1">
      <c r="N233" s="530" t="s">
        <v>463</v>
      </c>
    </row>
    <row r="234" spans="13:14" ht="15" hidden="1">
      <c r="N234" s="530" t="s">
        <v>464</v>
      </c>
    </row>
    <row r="235" spans="13:14" ht="15" hidden="1">
      <c r="N235" s="530" t="s">
        <v>469</v>
      </c>
    </row>
    <row r="236" spans="13:14" ht="15" hidden="1">
      <c r="N236" s="530" t="s">
        <v>472</v>
      </c>
    </row>
    <row r="237" spans="13:14" ht="15" hidden="1">
      <c r="N237" s="530" t="s">
        <v>473</v>
      </c>
    </row>
    <row r="238" spans="13:14" ht="15" hidden="1">
      <c r="N238" s="530" t="s">
        <v>190</v>
      </c>
    </row>
    <row r="239" spans="13:14" ht="15" hidden="1">
      <c r="N239" s="530" t="s">
        <v>74</v>
      </c>
    </row>
    <row r="240" spans="13:14" ht="15" hidden="1">
      <c r="N240" s="530" t="s">
        <v>436</v>
      </c>
    </row>
    <row r="241" spans="13:17" ht="15" hidden="1">
      <c r="M241" s="387"/>
      <c r="N241" s="530" t="s">
        <v>700</v>
      </c>
    </row>
    <row r="242" spans="13:17" ht="15" hidden="1">
      <c r="N242" s="530" t="s">
        <v>202</v>
      </c>
    </row>
    <row r="243" spans="13:17" ht="15" hidden="1">
      <c r="N243" s="530" t="s">
        <v>509</v>
      </c>
    </row>
    <row r="244" spans="13:17" ht="15" hidden="1">
      <c r="N244" s="530" t="s">
        <v>591</v>
      </c>
    </row>
    <row r="245" spans="13:17" ht="15" hidden="1">
      <c r="N245" s="530" t="s">
        <v>594</v>
      </c>
    </row>
    <row r="246" spans="13:17" ht="15" hidden="1">
      <c r="N246" s="530" t="s">
        <v>596</v>
      </c>
    </row>
    <row r="247" spans="13:17" ht="15" hidden="1">
      <c r="N247" s="530" t="s">
        <v>602</v>
      </c>
    </row>
    <row r="248" spans="13:17" ht="15" hidden="1">
      <c r="N248" s="530" t="s">
        <v>606</v>
      </c>
      <c r="P248" s="530"/>
      <c r="Q248" s="530"/>
    </row>
    <row r="249" spans="13:17" ht="15" hidden="1">
      <c r="N249" s="530" t="s">
        <v>353</v>
      </c>
    </row>
    <row r="250" spans="13:17" ht="15" hidden="1">
      <c r="N250" s="530" t="s">
        <v>355</v>
      </c>
    </row>
    <row r="251" spans="13:17" ht="15" hidden="1">
      <c r="N251" s="530" t="s">
        <v>356</v>
      </c>
    </row>
    <row r="252" spans="13:17" ht="15" hidden="1">
      <c r="N252" s="530" t="s">
        <v>357</v>
      </c>
    </row>
    <row r="253" spans="13:17" ht="15" hidden="1">
      <c r="N253" s="530" t="s">
        <v>192</v>
      </c>
    </row>
    <row r="254" spans="13:17" ht="15" hidden="1">
      <c r="N254" s="530" t="s">
        <v>358</v>
      </c>
    </row>
    <row r="255" spans="13:17" ht="15" hidden="1">
      <c r="N255" s="530" t="s">
        <v>359</v>
      </c>
    </row>
    <row r="256" spans="13:17" ht="15" hidden="1">
      <c r="N256" s="530" t="s">
        <v>348</v>
      </c>
    </row>
    <row r="257" spans="14:14" ht="15" hidden="1">
      <c r="N257" s="530" t="s">
        <v>360</v>
      </c>
    </row>
    <row r="258" spans="14:14" ht="15" hidden="1">
      <c r="N258" s="530" t="s">
        <v>361</v>
      </c>
    </row>
    <row r="259" spans="14:14" ht="15" hidden="1">
      <c r="N259" s="530" t="s">
        <v>357</v>
      </c>
    </row>
    <row r="260" spans="14:14" ht="15" hidden="1">
      <c r="N260" s="530" t="s">
        <v>363</v>
      </c>
    </row>
    <row r="261" spans="14:14" hidden="1"/>
    <row r="262" spans="14:14" hidden="1"/>
  </sheetData>
  <sheetProtection password="E86C" sheet="1" objects="1" scenarios="1"/>
  <mergeCells count="31">
    <mergeCell ref="B5:R5"/>
    <mergeCell ref="AH8:AH9"/>
    <mergeCell ref="AI8:AI9"/>
    <mergeCell ref="AE8:AE9"/>
    <mergeCell ref="AG8:AG9"/>
    <mergeCell ref="AF7:AI7"/>
    <mergeCell ref="P7:X8"/>
    <mergeCell ref="AB8:AB9"/>
    <mergeCell ref="AC8:AC9"/>
    <mergeCell ref="AD8:AD9"/>
    <mergeCell ref="O7:O9"/>
    <mergeCell ref="Y7:AA7"/>
    <mergeCell ref="AB7:AE7"/>
    <mergeCell ref="Y8:Y9"/>
    <mergeCell ref="Z8:Z9"/>
    <mergeCell ref="AA8:AA9"/>
    <mergeCell ref="AK7:AM8"/>
    <mergeCell ref="A7:A9"/>
    <mergeCell ref="K7:K9"/>
    <mergeCell ref="L7:L9"/>
    <mergeCell ref="M7:M9"/>
    <mergeCell ref="N7:N9"/>
    <mergeCell ref="J7:J9"/>
    <mergeCell ref="B7:B9"/>
    <mergeCell ref="C7:C9"/>
    <mergeCell ref="D7:D9"/>
    <mergeCell ref="E7:E9"/>
    <mergeCell ref="H7:H9"/>
    <mergeCell ref="AF8:AF9"/>
    <mergeCell ref="F7:F9"/>
    <mergeCell ref="G7:G9"/>
  </mergeCells>
  <dataValidations count="3">
    <dataValidation type="list" allowBlank="1" showInputMessage="1" showErrorMessage="1" sqref="L10:L204" xr:uid="{00000000-0002-0000-0300-000000000000}">
      <formula1>$L$214:$L$218</formula1>
    </dataValidation>
    <dataValidation type="list" allowBlank="1" showInputMessage="1" showErrorMessage="1" sqref="M10:M204" xr:uid="{00000000-0002-0000-0300-000001000000}">
      <formula1>$L$219:$L$223</formula1>
    </dataValidation>
    <dataValidation type="list" allowBlank="1" showInputMessage="1" showErrorMessage="1" sqref="N10:N75 N77:N204" xr:uid="{00000000-0002-0000-0300-000002000000}">
      <formula1>$N$214:$N$259</formula1>
    </dataValidation>
  </dataValidations>
  <pageMargins left="0" right="0" top="0" bottom="0" header="0.3" footer="0.3"/>
  <pageSetup paperSize="9" scale="38"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99"/>
  </sheetPr>
  <dimension ref="A1:AT31"/>
  <sheetViews>
    <sheetView view="pageBreakPreview" topLeftCell="B1" zoomScale="70" zoomScaleNormal="55" zoomScaleSheetLayoutView="70" workbookViewId="0">
      <pane xSplit="4" ySplit="6" topLeftCell="T7" activePane="bottomRight" state="frozen"/>
      <selection activeCell="B1" sqref="B1"/>
      <selection pane="topRight" activeCell="F1" sqref="F1"/>
      <selection pane="bottomLeft" activeCell="B7" sqref="B7"/>
      <selection pane="bottomRight" activeCell="AD20" sqref="AD20"/>
    </sheetView>
  </sheetViews>
  <sheetFormatPr defaultColWidth="9.140625" defaultRowHeight="14.25"/>
  <cols>
    <col min="1" max="1" width="0" style="204" hidden="1" customWidth="1"/>
    <col min="2" max="2" width="7.28515625" style="204" customWidth="1"/>
    <col min="3" max="3" width="46.28515625" style="204" customWidth="1"/>
    <col min="4" max="4" width="14.5703125" style="204" customWidth="1"/>
    <col min="5" max="5" width="13.140625" style="204" customWidth="1"/>
    <col min="6" max="6" width="0.85546875" style="204" hidden="1" customWidth="1"/>
    <col min="7" max="7" width="12.42578125" style="204" bestFit="1" customWidth="1"/>
    <col min="8" max="8" width="10" style="204" bestFit="1" customWidth="1"/>
    <col min="9" max="9" width="12.42578125" style="204" bestFit="1" customWidth="1"/>
    <col min="10" max="10" width="11.140625" style="204" bestFit="1" customWidth="1"/>
    <col min="11" max="11" width="10.7109375" style="204" bestFit="1" customWidth="1"/>
    <col min="12" max="12" width="12.42578125" style="204" bestFit="1" customWidth="1"/>
    <col min="13" max="13" width="12" style="204" bestFit="1" customWidth="1"/>
    <col min="14" max="14" width="10.7109375" style="204" bestFit="1" customWidth="1"/>
    <col min="15" max="15" width="12.42578125" style="204" bestFit="1" customWidth="1"/>
    <col min="16" max="16" width="12" style="204" bestFit="1" customWidth="1"/>
    <col min="17" max="17" width="10.7109375" style="204" bestFit="1" customWidth="1"/>
    <col min="18" max="18" width="12.42578125" style="204" bestFit="1" customWidth="1"/>
    <col min="19" max="19" width="12" style="204" bestFit="1" customWidth="1"/>
    <col min="20" max="20" width="11.140625" style="204" bestFit="1" customWidth="1"/>
    <col min="21" max="21" width="12.42578125" style="204" bestFit="1" customWidth="1"/>
    <col min="22" max="22" width="12" style="204" bestFit="1" customWidth="1"/>
    <col min="23" max="23" width="10.7109375" style="204" bestFit="1" customWidth="1"/>
    <col min="24" max="24" width="12.42578125" style="204" bestFit="1" customWidth="1"/>
    <col min="25" max="25" width="10.7109375" style="204" bestFit="1" customWidth="1"/>
    <col min="26" max="26" width="11.140625" style="204" bestFit="1" customWidth="1"/>
    <col min="27" max="27" width="12.42578125" style="204" bestFit="1" customWidth="1"/>
    <col min="28" max="29" width="11.140625" style="204" bestFit="1" customWidth="1"/>
    <col min="30" max="30" width="12.42578125" style="204" bestFit="1" customWidth="1"/>
    <col min="31" max="42" width="6.42578125" style="204" bestFit="1" customWidth="1"/>
    <col min="43" max="43" width="1.5703125" style="204" hidden="1" customWidth="1"/>
    <col min="44" max="44" width="27" style="204" hidden="1" customWidth="1"/>
    <col min="45" max="45" width="1.28515625" style="204" customWidth="1"/>
    <col min="46" max="16384" width="9.140625" style="204"/>
  </cols>
  <sheetData>
    <row r="1" spans="1:46" ht="23.1" customHeight="1">
      <c r="A1" s="204" t="s">
        <v>4</v>
      </c>
      <c r="B1" s="1582" t="s">
        <v>199</v>
      </c>
      <c r="C1" s="1582"/>
      <c r="D1" s="1582"/>
      <c r="E1" s="1582"/>
      <c r="F1" s="1582"/>
      <c r="G1" s="1582"/>
      <c r="H1" s="1582"/>
      <c r="I1" s="1582"/>
      <c r="J1" s="1582"/>
      <c r="K1" s="1582"/>
      <c r="L1" s="1582"/>
      <c r="M1" s="1582"/>
      <c r="N1" s="1582"/>
      <c r="O1" s="1582"/>
      <c r="P1" s="1582"/>
      <c r="Q1" s="1582"/>
      <c r="R1" s="1582"/>
      <c r="S1" s="1582"/>
      <c r="T1" s="1582"/>
      <c r="U1" s="1582"/>
      <c r="V1" s="1582"/>
      <c r="W1" s="773"/>
      <c r="X1" s="773"/>
      <c r="Y1" s="333"/>
      <c r="Z1" s="333"/>
      <c r="AA1" s="333"/>
      <c r="AB1" s="333"/>
      <c r="AC1" s="333"/>
      <c r="AD1" s="333"/>
      <c r="AE1" s="333"/>
      <c r="AF1" s="333"/>
      <c r="AG1" s="333"/>
      <c r="AH1" s="333"/>
      <c r="AI1" s="333"/>
      <c r="AJ1" s="333"/>
      <c r="AK1" s="333"/>
      <c r="AL1" s="333"/>
      <c r="AM1" s="333"/>
      <c r="AN1" s="333"/>
      <c r="AO1" s="333"/>
      <c r="AP1" s="333"/>
      <c r="AQ1" s="333"/>
    </row>
    <row r="2" spans="1:46" ht="23.1" customHeight="1">
      <c r="B2" s="1583" t="s">
        <v>200</v>
      </c>
      <c r="C2" s="1583"/>
      <c r="D2" s="1583"/>
      <c r="E2" s="1583"/>
      <c r="F2" s="1583"/>
      <c r="G2" s="1583"/>
      <c r="H2" s="1583"/>
      <c r="I2" s="1583"/>
      <c r="J2" s="1583"/>
      <c r="K2" s="1583"/>
      <c r="L2" s="1583"/>
      <c r="M2" s="1583"/>
      <c r="N2" s="1583"/>
      <c r="O2" s="1583"/>
      <c r="P2" s="1583"/>
      <c r="Q2" s="1583"/>
      <c r="R2" s="1583"/>
      <c r="S2" s="1583"/>
      <c r="T2" s="1583"/>
      <c r="U2" s="1583"/>
      <c r="V2" s="1583"/>
      <c r="W2" s="774"/>
      <c r="X2" s="774"/>
      <c r="Y2" s="335"/>
      <c r="Z2" s="335"/>
      <c r="AA2" s="335"/>
      <c r="AB2" s="335"/>
      <c r="AC2" s="335"/>
      <c r="AD2" s="335"/>
      <c r="AE2" s="335"/>
      <c r="AF2" s="335"/>
      <c r="AG2" s="335"/>
      <c r="AH2" s="335"/>
      <c r="AI2" s="335"/>
      <c r="AJ2" s="335"/>
      <c r="AK2" s="335"/>
      <c r="AL2" s="335"/>
      <c r="AM2" s="335"/>
      <c r="AN2" s="335"/>
      <c r="AO2" s="335"/>
      <c r="AP2" s="335"/>
      <c r="AQ2" s="335"/>
    </row>
    <row r="3" spans="1:46" ht="23.1" customHeight="1" thickBot="1">
      <c r="B3" s="1584" t="s">
        <v>285</v>
      </c>
      <c r="C3" s="1584"/>
      <c r="D3" s="1584"/>
      <c r="E3" s="1584"/>
      <c r="F3" s="1584"/>
      <c r="G3" s="1584"/>
      <c r="H3" s="1584"/>
      <c r="I3" s="1584"/>
      <c r="J3" s="1584"/>
      <c r="K3" s="1584"/>
      <c r="L3" s="1584"/>
      <c r="M3" s="1584"/>
      <c r="N3" s="1584"/>
      <c r="O3" s="1584"/>
      <c r="P3" s="1584"/>
      <c r="Q3" s="1584"/>
      <c r="R3" s="1584"/>
      <c r="S3" s="1584"/>
      <c r="T3" s="1584"/>
      <c r="U3" s="1584"/>
      <c r="V3" s="1584"/>
      <c r="W3" s="775"/>
      <c r="X3" s="775"/>
      <c r="Y3" s="334"/>
      <c r="Z3" s="334"/>
      <c r="AA3" s="334"/>
      <c r="AB3" s="334"/>
      <c r="AC3" s="334"/>
      <c r="AD3" s="334"/>
      <c r="AE3" s="334"/>
      <c r="AF3" s="334"/>
      <c r="AG3" s="334"/>
      <c r="AH3" s="334"/>
      <c r="AI3" s="334"/>
      <c r="AJ3" s="334"/>
      <c r="AK3" s="334"/>
      <c r="AL3" s="334"/>
      <c r="AM3" s="334"/>
      <c r="AN3" s="334"/>
      <c r="AO3" s="334"/>
      <c r="AP3" s="334"/>
      <c r="AQ3" s="334"/>
    </row>
    <row r="4" spans="1:46" ht="23.1" customHeight="1" thickBot="1">
      <c r="B4" s="336"/>
      <c r="C4" s="336"/>
      <c r="D4" s="336" t="s">
        <v>217</v>
      </c>
      <c r="E4" s="336"/>
      <c r="F4" s="336"/>
      <c r="G4" s="1593" t="s">
        <v>756</v>
      </c>
      <c r="H4" s="1594"/>
      <c r="I4" s="1594"/>
      <c r="J4" s="1595"/>
      <c r="K4" s="1595"/>
      <c r="L4" s="1595"/>
      <c r="M4" s="1595"/>
      <c r="N4" s="1595"/>
      <c r="O4" s="1595"/>
      <c r="P4" s="1595"/>
      <c r="Q4" s="1595"/>
      <c r="R4" s="1595"/>
      <c r="S4" s="1595"/>
      <c r="T4" s="1595"/>
      <c r="U4" s="1595"/>
      <c r="V4" s="1595"/>
      <c r="W4" s="1595"/>
      <c r="X4" s="1595"/>
      <c r="Y4" s="1595"/>
      <c r="Z4" s="1595"/>
      <c r="AA4" s="1595"/>
      <c r="AB4" s="1595"/>
      <c r="AC4" s="1595"/>
      <c r="AD4" s="1595"/>
      <c r="AE4" s="1595"/>
      <c r="AF4" s="1595"/>
      <c r="AG4" s="1595"/>
      <c r="AH4" s="1595"/>
      <c r="AI4" s="1595"/>
      <c r="AJ4" s="1595"/>
      <c r="AK4" s="1595"/>
      <c r="AL4" s="1596"/>
      <c r="AM4" s="1596"/>
      <c r="AN4" s="1596"/>
      <c r="AO4" s="1596"/>
      <c r="AP4" s="1597"/>
      <c r="AQ4" s="336"/>
      <c r="AT4" s="764"/>
    </row>
    <row r="5" spans="1:46" ht="18" customHeight="1" thickTop="1">
      <c r="B5" s="1585" t="s">
        <v>111</v>
      </c>
      <c r="C5" s="1586"/>
      <c r="D5" s="1589" t="s">
        <v>78</v>
      </c>
      <c r="E5" s="1591" t="s">
        <v>198</v>
      </c>
      <c r="F5" s="337"/>
      <c r="G5" s="1598" t="s">
        <v>160</v>
      </c>
      <c r="H5" s="1599"/>
      <c r="I5" s="1600"/>
      <c r="J5" s="1601" t="s">
        <v>197</v>
      </c>
      <c r="K5" s="1599"/>
      <c r="L5" s="1600"/>
      <c r="M5" s="1578" t="s">
        <v>760</v>
      </c>
      <c r="N5" s="1579"/>
      <c r="O5" s="1580"/>
      <c r="P5" s="1578" t="s">
        <v>761</v>
      </c>
      <c r="Q5" s="1579"/>
      <c r="R5" s="1580"/>
      <c r="S5" s="1578" t="s">
        <v>762</v>
      </c>
      <c r="T5" s="1579"/>
      <c r="U5" s="1580"/>
      <c r="V5" s="1578" t="s">
        <v>763</v>
      </c>
      <c r="W5" s="1579"/>
      <c r="X5" s="1580"/>
      <c r="Y5" s="1578" t="s">
        <v>764</v>
      </c>
      <c r="Z5" s="1579"/>
      <c r="AA5" s="1580"/>
      <c r="AB5" s="1602" t="s">
        <v>765</v>
      </c>
      <c r="AC5" s="1603"/>
      <c r="AD5" s="1604"/>
      <c r="AE5" s="1578" t="s">
        <v>766</v>
      </c>
      <c r="AF5" s="1579"/>
      <c r="AG5" s="1580"/>
      <c r="AH5" s="1578" t="s">
        <v>767</v>
      </c>
      <c r="AI5" s="1579"/>
      <c r="AJ5" s="1580"/>
      <c r="AK5" s="1578" t="s">
        <v>768</v>
      </c>
      <c r="AL5" s="1579"/>
      <c r="AM5" s="1580"/>
      <c r="AN5" s="1578" t="s">
        <v>769</v>
      </c>
      <c r="AO5" s="1579"/>
      <c r="AP5" s="1581"/>
      <c r="AQ5" s="776"/>
      <c r="AR5" s="1577" t="s">
        <v>715</v>
      </c>
    </row>
    <row r="6" spans="1:46" ht="108" customHeight="1" thickBot="1">
      <c r="B6" s="1587"/>
      <c r="C6" s="1588"/>
      <c r="D6" s="1590"/>
      <c r="E6" s="1592"/>
      <c r="F6" s="337"/>
      <c r="G6" s="787" t="s">
        <v>758</v>
      </c>
      <c r="H6" s="788" t="s">
        <v>759</v>
      </c>
      <c r="I6" s="789" t="s">
        <v>757</v>
      </c>
      <c r="J6" s="789" t="s">
        <v>758</v>
      </c>
      <c r="K6" s="788" t="s">
        <v>759</v>
      </c>
      <c r="L6" s="789" t="s">
        <v>757</v>
      </c>
      <c r="M6" s="789" t="s">
        <v>758</v>
      </c>
      <c r="N6" s="788" t="s">
        <v>759</v>
      </c>
      <c r="O6" s="789" t="s">
        <v>757</v>
      </c>
      <c r="P6" s="789" t="s">
        <v>758</v>
      </c>
      <c r="Q6" s="788" t="s">
        <v>759</v>
      </c>
      <c r="R6" s="789" t="s">
        <v>757</v>
      </c>
      <c r="S6" s="789" t="s">
        <v>758</v>
      </c>
      <c r="T6" s="788" t="s">
        <v>759</v>
      </c>
      <c r="U6" s="789" t="s">
        <v>757</v>
      </c>
      <c r="V6" s="789" t="s">
        <v>758</v>
      </c>
      <c r="W6" s="788" t="s">
        <v>759</v>
      </c>
      <c r="X6" s="789" t="s">
        <v>757</v>
      </c>
      <c r="Y6" s="789" t="s">
        <v>758</v>
      </c>
      <c r="Z6" s="788" t="s">
        <v>759</v>
      </c>
      <c r="AA6" s="789" t="s">
        <v>757</v>
      </c>
      <c r="AB6" s="789" t="s">
        <v>758</v>
      </c>
      <c r="AC6" s="788" t="s">
        <v>759</v>
      </c>
      <c r="AD6" s="789" t="s">
        <v>757</v>
      </c>
      <c r="AE6" s="789" t="s">
        <v>758</v>
      </c>
      <c r="AF6" s="788" t="s">
        <v>759</v>
      </c>
      <c r="AG6" s="789" t="s">
        <v>757</v>
      </c>
      <c r="AH6" s="789" t="s">
        <v>758</v>
      </c>
      <c r="AI6" s="788" t="s">
        <v>759</v>
      </c>
      <c r="AJ6" s="789" t="s">
        <v>757</v>
      </c>
      <c r="AK6" s="789" t="s">
        <v>758</v>
      </c>
      <c r="AL6" s="788" t="s">
        <v>759</v>
      </c>
      <c r="AM6" s="789" t="s">
        <v>757</v>
      </c>
      <c r="AN6" s="789" t="s">
        <v>758</v>
      </c>
      <c r="AO6" s="788" t="s">
        <v>759</v>
      </c>
      <c r="AP6" s="790" t="s">
        <v>757</v>
      </c>
      <c r="AQ6" s="777"/>
      <c r="AR6" s="1577"/>
    </row>
    <row r="7" spans="1:46" ht="30" customHeight="1">
      <c r="B7" s="338">
        <v>1</v>
      </c>
      <c r="C7" s="339" t="s">
        <v>115</v>
      </c>
      <c r="D7" s="340">
        <v>5.0000000000000001E-3</v>
      </c>
      <c r="E7" s="1017">
        <f>'1. MEF Progress'!E7</f>
        <v>0.5</v>
      </c>
      <c r="F7" s="341"/>
      <c r="G7" s="1040">
        <f>I7</f>
        <v>0.5</v>
      </c>
      <c r="H7" s="1041"/>
      <c r="I7" s="1018">
        <f>'1. MEF Progress'!G7</f>
        <v>0.5</v>
      </c>
      <c r="J7" s="995"/>
      <c r="K7" s="995"/>
      <c r="L7" s="995">
        <f>'1. MEF Progress'!H7</f>
        <v>0.5</v>
      </c>
      <c r="M7" s="995"/>
      <c r="N7" s="995"/>
      <c r="O7" s="995">
        <f>'1. MEF Progress'!I7</f>
        <v>0.5</v>
      </c>
      <c r="P7" s="995">
        <f>R7</f>
        <v>0.5</v>
      </c>
      <c r="Q7" s="995"/>
      <c r="R7" s="995">
        <f>'1. MEF Progress'!J7</f>
        <v>0.5</v>
      </c>
      <c r="S7" s="995">
        <f>U7</f>
        <v>0.5</v>
      </c>
      <c r="T7" s="995"/>
      <c r="U7" s="995">
        <f>'1. MEF Progress'!K7</f>
        <v>0.5</v>
      </c>
      <c r="V7" s="995">
        <f>X7</f>
        <v>0.5</v>
      </c>
      <c r="W7" s="1019"/>
      <c r="X7" s="995">
        <f>'1. MEF Progress'!L7</f>
        <v>0.5</v>
      </c>
      <c r="Y7" s="995">
        <f>AA7</f>
        <v>0.5</v>
      </c>
      <c r="Z7" s="995"/>
      <c r="AA7" s="995">
        <f>'1. MEF Progress'!M7</f>
        <v>0.5</v>
      </c>
      <c r="AB7" s="995">
        <f>AD7-AA7</f>
        <v>0</v>
      </c>
      <c r="AC7" s="1019"/>
      <c r="AD7" s="995">
        <f>'1. MEF Progress'!N7</f>
        <v>0.5</v>
      </c>
      <c r="AE7" s="995"/>
      <c r="AF7" s="995"/>
      <c r="AG7" s="995"/>
      <c r="AH7" s="995"/>
      <c r="AI7" s="995"/>
      <c r="AJ7" s="995"/>
      <c r="AK7" s="995"/>
      <c r="AL7" s="357"/>
      <c r="AM7" s="357"/>
      <c r="AN7" s="357"/>
      <c r="AO7" s="357"/>
      <c r="AP7" s="1020"/>
      <c r="AQ7" s="778"/>
      <c r="AR7" s="735">
        <f>E7+SUM(G7:AP7)</f>
        <v>7</v>
      </c>
    </row>
    <row r="8" spans="1:46" ht="30" customHeight="1">
      <c r="B8" s="343">
        <v>2</v>
      </c>
      <c r="C8" s="344" t="s">
        <v>80</v>
      </c>
      <c r="D8" s="342">
        <v>5.0000000000000001E-3</v>
      </c>
      <c r="E8" s="1017">
        <f>'1. MEF Progress'!E8</f>
        <v>0.43</v>
      </c>
      <c r="F8" s="341"/>
      <c r="G8" s="1040">
        <f t="shared" ref="G8:G12" si="0">I8</f>
        <v>0.43</v>
      </c>
      <c r="H8" s="1041"/>
      <c r="I8" s="1018">
        <f>'1. MEF Progress'!G8</f>
        <v>0.43</v>
      </c>
      <c r="J8" s="995"/>
      <c r="K8" s="995"/>
      <c r="L8" s="995">
        <f>'1. MEF Progress'!H8</f>
        <v>0.45</v>
      </c>
      <c r="M8" s="995"/>
      <c r="N8" s="995"/>
      <c r="O8" s="995">
        <f>'1. MEF Progress'!I8</f>
        <v>0.45</v>
      </c>
      <c r="P8" s="995"/>
      <c r="Q8" s="995"/>
      <c r="R8" s="995">
        <f>'1. MEF Progress'!J8</f>
        <v>0.45</v>
      </c>
      <c r="S8" s="995"/>
      <c r="T8" s="995"/>
      <c r="U8" s="995">
        <f>'1. MEF Progress'!K8</f>
        <v>0.45</v>
      </c>
      <c r="V8" s="995"/>
      <c r="W8" s="1019"/>
      <c r="X8" s="995">
        <f>'1. MEF Progress'!L8</f>
        <v>0.45</v>
      </c>
      <c r="Y8" s="995"/>
      <c r="Z8" s="995"/>
      <c r="AA8" s="995">
        <f>'1. MEF Progress'!M8</f>
        <v>0.45</v>
      </c>
      <c r="AB8" s="995">
        <f t="shared" ref="AB8:AB12" si="1">AD8-AA8</f>
        <v>0</v>
      </c>
      <c r="AC8" s="1019"/>
      <c r="AD8" s="995">
        <f>'1. MEF Progress'!N8</f>
        <v>0.45</v>
      </c>
      <c r="AE8" s="995"/>
      <c r="AF8" s="995"/>
      <c r="AG8" s="995"/>
      <c r="AH8" s="995"/>
      <c r="AI8" s="995"/>
      <c r="AJ8" s="995"/>
      <c r="AK8" s="995"/>
      <c r="AL8" s="357"/>
      <c r="AM8" s="357"/>
      <c r="AN8" s="357"/>
      <c r="AO8" s="357"/>
      <c r="AP8" s="1020"/>
      <c r="AQ8" s="778"/>
      <c r="AR8" s="735">
        <f t="shared" ref="AR8:AR12" si="2">E8+SUM(G8:AP8)</f>
        <v>4.4400000000000004</v>
      </c>
    </row>
    <row r="9" spans="1:46" ht="30" customHeight="1">
      <c r="B9" s="343">
        <v>3</v>
      </c>
      <c r="C9" s="344" t="s">
        <v>88</v>
      </c>
      <c r="D9" s="342">
        <v>0.04</v>
      </c>
      <c r="E9" s="1017">
        <f>'1. MEF Progress'!E9</f>
        <v>1</v>
      </c>
      <c r="F9" s="341"/>
      <c r="G9" s="1040">
        <f t="shared" si="0"/>
        <v>1.1200000000000001</v>
      </c>
      <c r="H9" s="1041"/>
      <c r="I9" s="1018">
        <f>'1. MEF Progress'!G9</f>
        <v>1.1200000000000001</v>
      </c>
      <c r="J9" s="995"/>
      <c r="K9" s="995"/>
      <c r="L9" s="995">
        <f>'1. MEF Progress'!H9</f>
        <v>1.1200000000000001</v>
      </c>
      <c r="M9" s="995"/>
      <c r="N9" s="995"/>
      <c r="O9" s="995">
        <f>'1. MEF Progress'!I9</f>
        <v>1.3</v>
      </c>
      <c r="P9" s="995"/>
      <c r="Q9" s="995"/>
      <c r="R9" s="995">
        <f>'1. MEF Progress'!J9</f>
        <v>1.33</v>
      </c>
      <c r="S9" s="995"/>
      <c r="T9" s="995"/>
      <c r="U9" s="995">
        <f>'1. MEF Progress'!K9</f>
        <v>1.36</v>
      </c>
      <c r="V9" s="995"/>
      <c r="W9" s="1019"/>
      <c r="X9" s="995">
        <f>'1. MEF Progress'!L9</f>
        <v>1.36</v>
      </c>
      <c r="Y9" s="995"/>
      <c r="Z9" s="995"/>
      <c r="AA9" s="995">
        <f>'1. MEF Progress'!M9</f>
        <v>1.36</v>
      </c>
      <c r="AB9" s="995">
        <f t="shared" si="1"/>
        <v>0</v>
      </c>
      <c r="AC9" s="1019"/>
      <c r="AD9" s="995">
        <f>'1. MEF Progress'!N9</f>
        <v>1.36</v>
      </c>
      <c r="AE9" s="995"/>
      <c r="AF9" s="995"/>
      <c r="AG9" s="995"/>
      <c r="AH9" s="995"/>
      <c r="AI9" s="995"/>
      <c r="AJ9" s="995"/>
      <c r="AK9" s="995"/>
      <c r="AL9" s="357"/>
      <c r="AM9" s="357"/>
      <c r="AN9" s="357"/>
      <c r="AO9" s="357"/>
      <c r="AP9" s="1020"/>
      <c r="AQ9" s="778"/>
      <c r="AR9" s="735">
        <f t="shared" si="2"/>
        <v>12.43</v>
      </c>
    </row>
    <row r="10" spans="1:46" ht="30" customHeight="1">
      <c r="B10" s="343">
        <v>4</v>
      </c>
      <c r="C10" s="344" t="s">
        <v>89</v>
      </c>
      <c r="D10" s="342">
        <v>0.02</v>
      </c>
      <c r="E10" s="1017">
        <f>'1. MEF Progress'!E10</f>
        <v>0.03</v>
      </c>
      <c r="F10" s="341"/>
      <c r="G10" s="1040">
        <f t="shared" si="0"/>
        <v>0.04</v>
      </c>
      <c r="H10" s="1041"/>
      <c r="I10" s="1018">
        <f>'1. MEF Progress'!G10</f>
        <v>0.04</v>
      </c>
      <c r="J10" s="995"/>
      <c r="K10" s="995"/>
      <c r="L10" s="995">
        <f>'1. MEF Progress'!H10</f>
        <v>0.04</v>
      </c>
      <c r="M10" s="995"/>
      <c r="N10" s="995"/>
      <c r="O10" s="995">
        <f>'1. MEF Progress'!I10</f>
        <v>0.05</v>
      </c>
      <c r="P10" s="995"/>
      <c r="Q10" s="995"/>
      <c r="R10" s="995">
        <f>'1. MEF Progress'!J10</f>
        <v>0.06</v>
      </c>
      <c r="S10" s="995"/>
      <c r="T10" s="995"/>
      <c r="U10" s="995">
        <f>'1. MEF Progress'!K10</f>
        <v>7.0000000000000007E-2</v>
      </c>
      <c r="V10" s="995"/>
      <c r="W10" s="1019"/>
      <c r="X10" s="995">
        <f>'1. MEF Progress'!L10</f>
        <v>0.03</v>
      </c>
      <c r="Y10" s="995"/>
      <c r="Z10" s="995"/>
      <c r="AA10" s="995">
        <f>'1. MEF Progress'!M10</f>
        <v>0.03</v>
      </c>
      <c r="AB10" s="995">
        <f t="shared" si="1"/>
        <v>0</v>
      </c>
      <c r="AC10" s="1019"/>
      <c r="AD10" s="995">
        <f>'1. MEF Progress'!N10</f>
        <v>0.03</v>
      </c>
      <c r="AE10" s="995"/>
      <c r="AF10" s="995"/>
      <c r="AG10" s="995"/>
      <c r="AH10" s="995"/>
      <c r="AI10" s="995"/>
      <c r="AJ10" s="995"/>
      <c r="AK10" s="995"/>
      <c r="AL10" s="357"/>
      <c r="AM10" s="357"/>
      <c r="AN10" s="357"/>
      <c r="AO10" s="357"/>
      <c r="AP10" s="1020"/>
      <c r="AQ10" s="778"/>
      <c r="AR10" s="735">
        <f t="shared" si="2"/>
        <v>0.42000000000000004</v>
      </c>
    </row>
    <row r="11" spans="1:46" ht="30" customHeight="1">
      <c r="B11" s="343">
        <v>5</v>
      </c>
      <c r="C11" s="344" t="s">
        <v>90</v>
      </c>
      <c r="D11" s="342">
        <v>0.02</v>
      </c>
      <c r="E11" s="1017">
        <f>'1. MEF Progress'!E11</f>
        <v>0.02</v>
      </c>
      <c r="F11" s="341"/>
      <c r="G11" s="1040">
        <f t="shared" si="0"/>
        <v>0.03</v>
      </c>
      <c r="H11" s="1041"/>
      <c r="I11" s="1018">
        <f>'1. MEF Progress'!G11</f>
        <v>0.03</v>
      </c>
      <c r="J11" s="995"/>
      <c r="K11" s="995"/>
      <c r="L11" s="995">
        <f>'1. MEF Progress'!H11</f>
        <v>0.03</v>
      </c>
      <c r="M11" s="995"/>
      <c r="N11" s="995"/>
      <c r="O11" s="995">
        <f>'1. MEF Progress'!I11</f>
        <v>0.04</v>
      </c>
      <c r="P11" s="995"/>
      <c r="Q11" s="995"/>
      <c r="R11" s="995">
        <f>'1. MEF Progress'!J11</f>
        <v>0.04</v>
      </c>
      <c r="S11" s="995"/>
      <c r="T11" s="995"/>
      <c r="U11" s="995">
        <f>'1. MEF Progress'!K11</f>
        <v>0.04</v>
      </c>
      <c r="V11" s="995"/>
      <c r="W11" s="1019"/>
      <c r="X11" s="995">
        <f>'1. MEF Progress'!L11</f>
        <v>0.03</v>
      </c>
      <c r="Y11" s="995"/>
      <c r="Z11" s="995"/>
      <c r="AA11" s="995">
        <f>'1. MEF Progress'!M11</f>
        <v>0.03</v>
      </c>
      <c r="AB11" s="995">
        <f t="shared" si="1"/>
        <v>0</v>
      </c>
      <c r="AC11" s="1019"/>
      <c r="AD11" s="995">
        <f>'1. MEF Progress'!N11</f>
        <v>0.03</v>
      </c>
      <c r="AE11" s="995"/>
      <c r="AF11" s="995"/>
      <c r="AG11" s="995"/>
      <c r="AH11" s="995"/>
      <c r="AI11" s="995"/>
      <c r="AJ11" s="995"/>
      <c r="AK11" s="995"/>
      <c r="AL11" s="357"/>
      <c r="AM11" s="357"/>
      <c r="AN11" s="357"/>
      <c r="AO11" s="357"/>
      <c r="AP11" s="1020"/>
      <c r="AQ11" s="778"/>
      <c r="AR11" s="735">
        <f t="shared" si="2"/>
        <v>0.32000000000000006</v>
      </c>
    </row>
    <row r="12" spans="1:46" ht="30" customHeight="1" thickBot="1">
      <c r="B12" s="765">
        <v>6</v>
      </c>
      <c r="C12" s="766" t="s">
        <v>91</v>
      </c>
      <c r="D12" s="767">
        <v>0.01</v>
      </c>
      <c r="E12" s="1039">
        <f>'1. MEF Progress'!E12</f>
        <v>0.03</v>
      </c>
      <c r="F12" s="341"/>
      <c r="G12" s="1042">
        <f t="shared" si="0"/>
        <v>0.03</v>
      </c>
      <c r="H12" s="1043"/>
      <c r="I12" s="1021">
        <f>'1. MEF Progress'!G12</f>
        <v>0.03</v>
      </c>
      <c r="J12" s="999"/>
      <c r="K12" s="999"/>
      <c r="L12" s="999">
        <f>'1. MEF Progress'!H12</f>
        <v>0.03</v>
      </c>
      <c r="M12" s="999"/>
      <c r="N12" s="999"/>
      <c r="O12" s="999">
        <f>'1. MEF Progress'!I12</f>
        <v>0.04</v>
      </c>
      <c r="P12" s="999"/>
      <c r="Q12" s="999"/>
      <c r="R12" s="999">
        <f>'1. MEF Progress'!J12</f>
        <v>0.04</v>
      </c>
      <c r="S12" s="999"/>
      <c r="T12" s="999"/>
      <c r="U12" s="999">
        <f>'1. MEF Progress'!K12</f>
        <v>0.04</v>
      </c>
      <c r="V12" s="999"/>
      <c r="W12" s="1022"/>
      <c r="X12" s="999">
        <f>'1. MEF Progress'!L12</f>
        <v>0.02</v>
      </c>
      <c r="Y12" s="999"/>
      <c r="Z12" s="999"/>
      <c r="AA12" s="999">
        <f>'1. MEF Progress'!M12</f>
        <v>0.02</v>
      </c>
      <c r="AB12" s="1023">
        <f t="shared" si="1"/>
        <v>9.9999999999999985E-3</v>
      </c>
      <c r="AC12" s="1024"/>
      <c r="AD12" s="999">
        <f>'1. MEF Progress'!N12</f>
        <v>0.03</v>
      </c>
      <c r="AE12" s="999"/>
      <c r="AF12" s="999"/>
      <c r="AG12" s="999"/>
      <c r="AH12" s="999"/>
      <c r="AI12" s="999"/>
      <c r="AJ12" s="999"/>
      <c r="AK12" s="999"/>
      <c r="AL12" s="1025"/>
      <c r="AM12" s="1025"/>
      <c r="AN12" s="1025"/>
      <c r="AO12" s="1025"/>
      <c r="AP12" s="1026"/>
      <c r="AQ12" s="782"/>
      <c r="AR12" s="783">
        <f t="shared" si="2"/>
        <v>0.32000000000000006</v>
      </c>
      <c r="AS12" s="786"/>
    </row>
    <row r="13" spans="1:46" ht="30" customHeight="1">
      <c r="B13" s="768">
        <v>7</v>
      </c>
      <c r="C13" s="769" t="s">
        <v>81</v>
      </c>
      <c r="D13" s="770">
        <v>0.27</v>
      </c>
      <c r="E13" s="1017">
        <f>'1. MEF Progress'!E13</f>
        <v>1.4295060000000004</v>
      </c>
      <c r="F13" s="771"/>
      <c r="G13" s="1044">
        <f>I13-E13</f>
        <v>0.46979190575999974</v>
      </c>
      <c r="H13" s="1029"/>
      <c r="I13" s="1027">
        <f>'1. MEF Progress'!G13</f>
        <v>1.8992979057600001</v>
      </c>
      <c r="J13" s="1028">
        <f>L13-I13</f>
        <v>0.20300906123999996</v>
      </c>
      <c r="K13" s="1029"/>
      <c r="L13" s="1028">
        <f>'1. MEF Progress'!H13</f>
        <v>2.1023069670000001</v>
      </c>
      <c r="M13" s="1028">
        <f>O13-L13</f>
        <v>0.72998116200000007</v>
      </c>
      <c r="N13" s="1029"/>
      <c r="O13" s="1028">
        <f>'1. MEF Progress'!I13</f>
        <v>2.8322881290000002</v>
      </c>
      <c r="P13" s="1028">
        <f>R13-O13</f>
        <v>1.1932649999999994</v>
      </c>
      <c r="Q13" s="1029"/>
      <c r="R13" s="1028">
        <f>'1. MEF Progress'!J13</f>
        <v>4.0255531289999995</v>
      </c>
      <c r="S13" s="1028">
        <f>U13-R13</f>
        <v>1.9909800000000013</v>
      </c>
      <c r="T13" s="1029"/>
      <c r="U13" s="1028">
        <f>'1. MEF Progress'!K13</f>
        <v>6.0165331290000008</v>
      </c>
      <c r="V13" s="1028">
        <f>X13-U13</f>
        <v>2.1939600000000006</v>
      </c>
      <c r="W13" s="1029"/>
      <c r="X13" s="1028">
        <f>'1. MEF Progress'!L13</f>
        <v>8.2104931290000014</v>
      </c>
      <c r="Y13" s="1028">
        <f>AA13-X13</f>
        <v>2.189999999998804E-3</v>
      </c>
      <c r="Z13" s="1029"/>
      <c r="AA13" s="1028">
        <f>'1. MEF Progress'!M13</f>
        <v>8.2126831290000002</v>
      </c>
      <c r="AB13" s="1028">
        <f>AD13-AA13</f>
        <v>4.9409999999999954E-2</v>
      </c>
      <c r="AC13" s="1029"/>
      <c r="AD13" s="1028">
        <f>'1. MEF Progress'!N13</f>
        <v>8.2620931290000001</v>
      </c>
      <c r="AE13" s="1001"/>
      <c r="AF13" s="1001"/>
      <c r="AG13" s="1001"/>
      <c r="AH13" s="1001"/>
      <c r="AI13" s="1001"/>
      <c r="AJ13" s="1001"/>
      <c r="AK13" s="1001"/>
      <c r="AL13" s="1001"/>
      <c r="AM13" s="1001"/>
      <c r="AN13" s="1001"/>
      <c r="AO13" s="1001"/>
      <c r="AP13" s="1030"/>
      <c r="AQ13" s="784"/>
      <c r="AR13" s="785">
        <f t="shared" ref="AR13:AR14" si="3">E13+AP13</f>
        <v>1.4295060000000004</v>
      </c>
      <c r="AS13" s="786"/>
    </row>
    <row r="14" spans="1:46" ht="30" customHeight="1">
      <c r="B14" s="343">
        <v>8</v>
      </c>
      <c r="C14" s="344" t="s">
        <v>92</v>
      </c>
      <c r="D14" s="342">
        <v>0.13500000000000001</v>
      </c>
      <c r="E14" s="1017">
        <f>'1. MEF Progress'!E14</f>
        <v>1.5090000000000001E-2</v>
      </c>
      <c r="F14" s="341"/>
      <c r="G14" s="1040">
        <f t="shared" ref="G14:G19" si="4">I14-E14</f>
        <v>2.2945388888888889</v>
      </c>
      <c r="H14" s="1019"/>
      <c r="I14" s="1018">
        <f>'1. MEF Progress'!G14</f>
        <v>2.3096288888888887</v>
      </c>
      <c r="J14" s="995">
        <f t="shared" ref="J14:J19" si="5">L14-I14</f>
        <v>0.2342790277777782</v>
      </c>
      <c r="K14" s="1019"/>
      <c r="L14" s="995">
        <f>'1. MEF Progress'!H14</f>
        <v>2.5439079166666669</v>
      </c>
      <c r="M14" s="995">
        <f t="shared" ref="M14:M19" si="6">O14-L14</f>
        <v>1.0883804444444447</v>
      </c>
      <c r="N14" s="1019"/>
      <c r="O14" s="995">
        <f>'1. MEF Progress'!I14</f>
        <v>3.6322883611111116</v>
      </c>
      <c r="P14" s="995">
        <f t="shared" ref="P14:P20" si="7">R14-O14</f>
        <v>0</v>
      </c>
      <c r="Q14" s="1019"/>
      <c r="R14" s="995">
        <f>'1. MEF Progress'!J14</f>
        <v>3.6322883611111116</v>
      </c>
      <c r="S14" s="995">
        <f t="shared" ref="S14:S20" si="8">U14-R14</f>
        <v>0</v>
      </c>
      <c r="T14" s="1019"/>
      <c r="U14" s="995">
        <f>'1. MEF Progress'!K14</f>
        <v>3.6322883611111116</v>
      </c>
      <c r="V14" s="995">
        <f t="shared" ref="V14:V19" si="9">X14-U14</f>
        <v>1.6761545674603173</v>
      </c>
      <c r="W14" s="1019"/>
      <c r="X14" s="995">
        <f>'1. MEF Progress'!L14</f>
        <v>5.308442928571429</v>
      </c>
      <c r="Y14" s="995">
        <f t="shared" ref="Y14:Y19" si="10">AA14-X14</f>
        <v>0</v>
      </c>
      <c r="Z14" s="1019"/>
      <c r="AA14" s="995">
        <f>'1. MEF Progress'!M14</f>
        <v>5.308442928571429</v>
      </c>
      <c r="AB14" s="995">
        <f t="shared" ref="AB14:AB19" si="11">AD14-AA14</f>
        <v>0</v>
      </c>
      <c r="AC14" s="1019"/>
      <c r="AD14" s="995">
        <f>'1. MEF Progress'!N14</f>
        <v>5.308442928571429</v>
      </c>
      <c r="AE14" s="996"/>
      <c r="AF14" s="996"/>
      <c r="AG14" s="996"/>
      <c r="AH14" s="996"/>
      <c r="AI14" s="996"/>
      <c r="AJ14" s="996"/>
      <c r="AK14" s="996"/>
      <c r="AL14" s="1031"/>
      <c r="AM14" s="1031"/>
      <c r="AN14" s="1031"/>
      <c r="AO14" s="1031"/>
      <c r="AP14" s="1032"/>
      <c r="AQ14" s="779"/>
      <c r="AR14" s="736">
        <f t="shared" si="3"/>
        <v>1.5090000000000001E-2</v>
      </c>
    </row>
    <row r="15" spans="1:46" ht="30" customHeight="1">
      <c r="B15" s="343">
        <v>9</v>
      </c>
      <c r="C15" s="344" t="s">
        <v>93</v>
      </c>
      <c r="D15" s="342">
        <v>0.13500000000000001</v>
      </c>
      <c r="E15" s="1017">
        <f>'1. MEF Progress'!E15</f>
        <v>2.1074999999999999</v>
      </c>
      <c r="F15" s="341"/>
      <c r="G15" s="1040">
        <f t="shared" si="4"/>
        <v>0.3228930000000001</v>
      </c>
      <c r="H15" s="1019"/>
      <c r="I15" s="1018">
        <f>'1. MEF Progress'!G15</f>
        <v>2.430393</v>
      </c>
      <c r="J15" s="995">
        <f t="shared" si="5"/>
        <v>0.14781449999999996</v>
      </c>
      <c r="K15" s="1019"/>
      <c r="L15" s="995">
        <f>'1. MEF Progress'!H15</f>
        <v>2.5782075</v>
      </c>
      <c r="M15" s="995">
        <f t="shared" si="6"/>
        <v>0.52674900000000013</v>
      </c>
      <c r="N15" s="1019"/>
      <c r="O15" s="995">
        <f>'1. MEF Progress'!I15</f>
        <v>3.1049565000000001</v>
      </c>
      <c r="P15" s="995">
        <f t="shared" si="7"/>
        <v>1.4015399999999998</v>
      </c>
      <c r="Q15" s="1019"/>
      <c r="R15" s="995">
        <f>'1. MEF Progress'!J15</f>
        <v>4.5064964999999999</v>
      </c>
      <c r="S15" s="995">
        <f t="shared" si="8"/>
        <v>0.52620000000000022</v>
      </c>
      <c r="T15" s="1019"/>
      <c r="U15" s="995">
        <f>'1. MEF Progress'!K15</f>
        <v>5.0326965000000001</v>
      </c>
      <c r="V15" s="995">
        <f t="shared" si="9"/>
        <v>0.56233350000000026</v>
      </c>
      <c r="W15" s="1019"/>
      <c r="X15" s="995">
        <f>'1. MEF Progress'!L15</f>
        <v>5.5950300000000004</v>
      </c>
      <c r="Y15" s="995">
        <f t="shared" si="10"/>
        <v>0.54415800000000036</v>
      </c>
      <c r="Z15" s="1019"/>
      <c r="AA15" s="995">
        <f>'1. MEF Progress'!M15</f>
        <v>6.1391880000000008</v>
      </c>
      <c r="AB15" s="995">
        <f t="shared" si="11"/>
        <v>1.0679999999999996</v>
      </c>
      <c r="AC15" s="1019"/>
      <c r="AD15" s="995">
        <f>'1. MEF Progress'!N15</f>
        <v>7.2071880000000004</v>
      </c>
      <c r="AE15" s="996"/>
      <c r="AF15" s="996"/>
      <c r="AG15" s="996"/>
      <c r="AH15" s="996"/>
      <c r="AI15" s="996"/>
      <c r="AJ15" s="996"/>
      <c r="AK15" s="996"/>
      <c r="AL15" s="1031"/>
      <c r="AM15" s="1031"/>
      <c r="AN15" s="1031"/>
      <c r="AO15" s="1031"/>
      <c r="AP15" s="1032"/>
      <c r="AQ15" s="779"/>
      <c r="AR15" s="736">
        <f>E15+AP15</f>
        <v>2.1074999999999999</v>
      </c>
    </row>
    <row r="16" spans="1:46" ht="30" customHeight="1">
      <c r="B16" s="343">
        <v>10</v>
      </c>
      <c r="C16" s="344" t="s">
        <v>196</v>
      </c>
      <c r="D16" s="342">
        <v>4.4999999999999998E-2</v>
      </c>
      <c r="E16" s="1017">
        <f>'1. MEF Progress'!E16</f>
        <v>0.20649999999999999</v>
      </c>
      <c r="F16" s="341"/>
      <c r="G16" s="1040">
        <f t="shared" si="4"/>
        <v>1.8229166666666657E-2</v>
      </c>
      <c r="H16" s="1019"/>
      <c r="I16" s="1018">
        <f>'1. MEF Progress'!G16</f>
        <v>0.22472916666666665</v>
      </c>
      <c r="J16" s="995">
        <f t="shared" si="5"/>
        <v>0</v>
      </c>
      <c r="K16" s="1019"/>
      <c r="L16" s="995">
        <f>'1. MEF Progress'!H16</f>
        <v>0.22472916666666665</v>
      </c>
      <c r="M16" s="995">
        <f t="shared" si="6"/>
        <v>1.9791666666666652E-2</v>
      </c>
      <c r="N16" s="1019"/>
      <c r="O16" s="995">
        <f>'1. MEF Progress'!I16</f>
        <v>0.2445208333333333</v>
      </c>
      <c r="P16" s="995">
        <f t="shared" si="7"/>
        <v>0</v>
      </c>
      <c r="Q16" s="1019"/>
      <c r="R16" s="995">
        <f>'1. MEF Progress'!J16</f>
        <v>0.2445208333333333</v>
      </c>
      <c r="S16" s="995">
        <f t="shared" si="8"/>
        <v>0</v>
      </c>
      <c r="T16" s="1019"/>
      <c r="U16" s="995">
        <f>'1. MEF Progress'!K16</f>
        <v>0.2445208333333333</v>
      </c>
      <c r="V16" s="995">
        <f t="shared" si="9"/>
        <v>0</v>
      </c>
      <c r="W16" s="1019"/>
      <c r="X16" s="995">
        <f>'1. MEF Progress'!L16</f>
        <v>0.2445208333333333</v>
      </c>
      <c r="Y16" s="995">
        <f t="shared" si="10"/>
        <v>0</v>
      </c>
      <c r="Z16" s="1019"/>
      <c r="AA16" s="995">
        <f>'1. MEF Progress'!M16</f>
        <v>0.2445208333333333</v>
      </c>
      <c r="AB16" s="995">
        <f t="shared" si="11"/>
        <v>0</v>
      </c>
      <c r="AC16" s="1019"/>
      <c r="AD16" s="995">
        <f>'1. MEF Progress'!N16</f>
        <v>0.2445208333333333</v>
      </c>
      <c r="AE16" s="994"/>
      <c r="AF16" s="994"/>
      <c r="AG16" s="994"/>
      <c r="AH16" s="994"/>
      <c r="AI16" s="994"/>
      <c r="AJ16" s="994"/>
      <c r="AK16" s="994"/>
      <c r="AL16" s="1033"/>
      <c r="AM16" s="1033"/>
      <c r="AN16" s="1033"/>
      <c r="AO16" s="1033"/>
      <c r="AP16" s="1034"/>
      <c r="AQ16" s="780"/>
      <c r="AR16" s="735">
        <f>E16+SUM(G16:AP16)</f>
        <v>2.1611041666666662</v>
      </c>
    </row>
    <row r="17" spans="2:44" ht="30" customHeight="1">
      <c r="B17" s="343">
        <v>11</v>
      </c>
      <c r="C17" s="344" t="s">
        <v>82</v>
      </c>
      <c r="D17" s="342">
        <v>0.126</v>
      </c>
      <c r="E17" s="1017">
        <f>'1. MEF Progress'!E17</f>
        <v>2.2935000000000003</v>
      </c>
      <c r="F17" s="341"/>
      <c r="G17" s="1040">
        <f t="shared" si="4"/>
        <v>0.2411749999999997</v>
      </c>
      <c r="H17" s="1019"/>
      <c r="I17" s="1018">
        <f>'1. MEF Progress'!G17</f>
        <v>2.534675</v>
      </c>
      <c r="J17" s="995">
        <f t="shared" si="5"/>
        <v>0.14755000000000029</v>
      </c>
      <c r="K17" s="1019"/>
      <c r="L17" s="995">
        <f>'1. MEF Progress'!H17</f>
        <v>2.6822250000000003</v>
      </c>
      <c r="M17" s="995">
        <f t="shared" si="6"/>
        <v>0.4227249999999998</v>
      </c>
      <c r="N17" s="1019"/>
      <c r="O17" s="995">
        <f>'1. MEF Progress'!I17</f>
        <v>3.1049500000000001</v>
      </c>
      <c r="P17" s="995">
        <f t="shared" si="7"/>
        <v>1.9334375000000006</v>
      </c>
      <c r="Q17" s="1019"/>
      <c r="R17" s="995">
        <f>'1. MEF Progress'!J17</f>
        <v>5.0383875000000007</v>
      </c>
      <c r="S17" s="995">
        <f t="shared" si="8"/>
        <v>0.54299999999999926</v>
      </c>
      <c r="T17" s="1019"/>
      <c r="U17" s="995">
        <f>'1. MEF Progress'!K17</f>
        <v>5.5813874999999999</v>
      </c>
      <c r="V17" s="995">
        <f t="shared" si="9"/>
        <v>0.22899342105263187</v>
      </c>
      <c r="W17" s="1019"/>
      <c r="X17" s="995">
        <f>'1. MEF Progress'!L17</f>
        <v>5.8103809210526318</v>
      </c>
      <c r="Y17" s="995">
        <f t="shared" si="10"/>
        <v>9.0111842105260465E-3</v>
      </c>
      <c r="Z17" s="1019"/>
      <c r="AA17" s="995">
        <f>'1. MEF Progress'!M17</f>
        <v>5.8193921052631579</v>
      </c>
      <c r="AB17" s="995">
        <f t="shared" si="11"/>
        <v>0.10142763157894752</v>
      </c>
      <c r="AC17" s="1019"/>
      <c r="AD17" s="995">
        <f>'1. MEF Progress'!N17</f>
        <v>5.9208197368421054</v>
      </c>
      <c r="AE17" s="996"/>
      <c r="AF17" s="996"/>
      <c r="AG17" s="996"/>
      <c r="AH17" s="996"/>
      <c r="AI17" s="996"/>
      <c r="AJ17" s="996"/>
      <c r="AK17" s="996"/>
      <c r="AL17" s="1031"/>
      <c r="AM17" s="1031"/>
      <c r="AN17" s="1031"/>
      <c r="AO17" s="1031"/>
      <c r="AP17" s="1032"/>
      <c r="AQ17" s="779"/>
      <c r="AR17" s="736">
        <f>E17+AP17</f>
        <v>2.2935000000000003</v>
      </c>
    </row>
    <row r="18" spans="2:44" ht="30" customHeight="1">
      <c r="B18" s="343">
        <v>12</v>
      </c>
      <c r="C18" s="344" t="s">
        <v>94</v>
      </c>
      <c r="D18" s="342">
        <v>5.3999999999999999E-2</v>
      </c>
      <c r="E18" s="1017">
        <f>'1. MEF Progress'!E18</f>
        <v>0.66300000000000003</v>
      </c>
      <c r="F18" s="341"/>
      <c r="G18" s="1040">
        <f t="shared" si="4"/>
        <v>0.58399999999999985</v>
      </c>
      <c r="H18" s="1019"/>
      <c r="I18" s="1018">
        <f>'1. MEF Progress'!G18</f>
        <v>1.2469999999999999</v>
      </c>
      <c r="J18" s="995">
        <f t="shared" si="5"/>
        <v>0.40155555555555567</v>
      </c>
      <c r="K18" s="1019"/>
      <c r="L18" s="995">
        <f>'1. MEF Progress'!H18</f>
        <v>1.6485555555555556</v>
      </c>
      <c r="M18" s="995">
        <f t="shared" si="6"/>
        <v>1.296055555555556</v>
      </c>
      <c r="N18" s="1019"/>
      <c r="O18" s="995">
        <f>'1. MEF Progress'!I18</f>
        <v>2.9446111111111115</v>
      </c>
      <c r="P18" s="995">
        <f t="shared" si="7"/>
        <v>6.9722222222222463E-2</v>
      </c>
      <c r="Q18" s="1019"/>
      <c r="R18" s="995">
        <f>'1. MEF Progress'!J18</f>
        <v>3.014333333333334</v>
      </c>
      <c r="S18" s="995">
        <f t="shared" si="8"/>
        <v>1.6111111111110965E-2</v>
      </c>
      <c r="T18" s="1019"/>
      <c r="U18" s="995">
        <f>'1. MEF Progress'!K18</f>
        <v>3.0304444444444449</v>
      </c>
      <c r="V18" s="995">
        <f t="shared" si="9"/>
        <v>0.23861111111111111</v>
      </c>
      <c r="W18" s="1019"/>
      <c r="X18" s="995">
        <f>'1. MEF Progress'!L18</f>
        <v>3.269055555555556</v>
      </c>
      <c r="Y18" s="995">
        <f t="shared" si="10"/>
        <v>5.555555555556424E-4</v>
      </c>
      <c r="Z18" s="1019"/>
      <c r="AA18" s="995">
        <f>'1. MEF Progress'!M18</f>
        <v>3.2696111111111117</v>
      </c>
      <c r="AB18" s="995">
        <f t="shared" si="11"/>
        <v>8.1111111111109579E-3</v>
      </c>
      <c r="AC18" s="1019"/>
      <c r="AD18" s="995">
        <f>'1. MEF Progress'!N18</f>
        <v>3.2777222222222226</v>
      </c>
      <c r="AE18" s="996"/>
      <c r="AF18" s="996"/>
      <c r="AG18" s="996"/>
      <c r="AH18" s="996"/>
      <c r="AI18" s="996"/>
      <c r="AJ18" s="996"/>
      <c r="AK18" s="996"/>
      <c r="AL18" s="1031"/>
      <c r="AM18" s="1031"/>
      <c r="AN18" s="1031"/>
      <c r="AO18" s="1031"/>
      <c r="AP18" s="1032"/>
      <c r="AQ18" s="779"/>
      <c r="AR18" s="736">
        <f t="shared" ref="AR18:AR19" si="12">E18+AP18</f>
        <v>0.66300000000000003</v>
      </c>
    </row>
    <row r="19" spans="2:44" ht="30" customHeight="1">
      <c r="B19" s="343">
        <v>13</v>
      </c>
      <c r="C19" s="344" t="s">
        <v>83</v>
      </c>
      <c r="D19" s="342">
        <v>0.13500000000000001</v>
      </c>
      <c r="E19" s="1017">
        <f>'1. MEF Progress'!E19</f>
        <v>1.3950000000000002</v>
      </c>
      <c r="F19" s="341"/>
      <c r="G19" s="1040">
        <f t="shared" si="4"/>
        <v>0</v>
      </c>
      <c r="H19" s="1019"/>
      <c r="I19" s="1018">
        <f>'1. MEF Progress'!G19</f>
        <v>1.3950000000000002</v>
      </c>
      <c r="J19" s="995">
        <f t="shared" si="5"/>
        <v>0</v>
      </c>
      <c r="K19" s="1019"/>
      <c r="L19" s="995">
        <f>'1. MEF Progress'!H19</f>
        <v>1.3950000000000002</v>
      </c>
      <c r="M19" s="995">
        <f t="shared" si="6"/>
        <v>0.14650000000000007</v>
      </c>
      <c r="N19" s="1019"/>
      <c r="O19" s="995">
        <f>'1. MEF Progress'!I19</f>
        <v>1.5415000000000003</v>
      </c>
      <c r="P19" s="995">
        <f t="shared" si="7"/>
        <v>0.36999999999999988</v>
      </c>
      <c r="Q19" s="1019"/>
      <c r="R19" s="995">
        <f>'1. MEF Progress'!J19</f>
        <v>1.9115000000000002</v>
      </c>
      <c r="S19" s="995">
        <f t="shared" si="8"/>
        <v>0.19999999999999973</v>
      </c>
      <c r="T19" s="1019"/>
      <c r="U19" s="995">
        <f>'1. MEF Progress'!K19</f>
        <v>2.1114999999999999</v>
      </c>
      <c r="V19" s="995">
        <f t="shared" si="9"/>
        <v>1.2549999999999999</v>
      </c>
      <c r="W19" s="1019"/>
      <c r="X19" s="995">
        <f>'1. MEF Progress'!L19</f>
        <v>3.3664999999999998</v>
      </c>
      <c r="Y19" s="995">
        <f t="shared" si="10"/>
        <v>1.2999999999999901E-2</v>
      </c>
      <c r="Z19" s="1019"/>
      <c r="AA19" s="995">
        <f>'1. MEF Progress'!M19</f>
        <v>3.3794999999999997</v>
      </c>
      <c r="AB19" s="995">
        <f t="shared" si="11"/>
        <v>0.33599999999999985</v>
      </c>
      <c r="AC19" s="1019"/>
      <c r="AD19" s="995">
        <f>'1. MEF Progress'!N19</f>
        <v>3.7154999999999996</v>
      </c>
      <c r="AE19" s="996"/>
      <c r="AF19" s="996"/>
      <c r="AG19" s="996"/>
      <c r="AH19" s="996"/>
      <c r="AI19" s="996"/>
      <c r="AJ19" s="996"/>
      <c r="AK19" s="996"/>
      <c r="AL19" s="1031"/>
      <c r="AM19" s="1031"/>
      <c r="AN19" s="1031"/>
      <c r="AO19" s="1031"/>
      <c r="AP19" s="1032"/>
      <c r="AQ19" s="779"/>
      <c r="AR19" s="736">
        <f t="shared" si="12"/>
        <v>1.3950000000000002</v>
      </c>
    </row>
    <row r="20" spans="2:44" ht="29.25" customHeight="1" thickBot="1">
      <c r="B20" s="346" t="s">
        <v>4</v>
      </c>
      <c r="C20" s="347" t="s">
        <v>96</v>
      </c>
      <c r="D20" s="348">
        <f>SUM(D7:D19)</f>
        <v>1</v>
      </c>
      <c r="E20" s="1047">
        <f>SUM(E7:E19)/100</f>
        <v>0.10120096000000001</v>
      </c>
      <c r="F20" s="1046"/>
      <c r="G20" s="1045">
        <f>(I20-E20)</f>
        <v>14.089523001315554</v>
      </c>
      <c r="H20" s="1024">
        <f>(I20-E20)</f>
        <v>14.089523001315554</v>
      </c>
      <c r="I20" s="1035">
        <f>('1. MEF Progress'!G20)</f>
        <v>14.190723961315554</v>
      </c>
      <c r="J20" s="1023">
        <f>(L20-I20)</f>
        <v>1.1542081445733352</v>
      </c>
      <c r="K20" s="1024">
        <f>(L20-E20)</f>
        <v>15.243731145888889</v>
      </c>
      <c r="L20" s="1023">
        <f>('1. MEF Progress'!H20)</f>
        <v>15.344932105888889</v>
      </c>
      <c r="M20" s="1023">
        <f>(O20-L20)</f>
        <v>4.4401828286666696</v>
      </c>
      <c r="N20" s="1024">
        <f>O20-E20</f>
        <v>19.683913974555558</v>
      </c>
      <c r="O20" s="1023">
        <f>'1. MEF Progress'!I20</f>
        <v>19.785114934555558</v>
      </c>
      <c r="P20" s="1023">
        <f t="shared" si="7"/>
        <v>5.0079647222222228</v>
      </c>
      <c r="Q20" s="1024">
        <f>R20-E20</f>
        <v>24.691878696777781</v>
      </c>
      <c r="R20" s="1023">
        <f>'1. MEF Progress'!J20</f>
        <v>24.793079656777781</v>
      </c>
      <c r="S20" s="1023">
        <f t="shared" si="8"/>
        <v>3.3162911111111057</v>
      </c>
      <c r="T20" s="1024">
        <f>U20-E20</f>
        <v>28.008169807888887</v>
      </c>
      <c r="U20" s="1023">
        <f>'1. MEF Progress'!K20</f>
        <v>28.109370767888887</v>
      </c>
      <c r="V20" s="1023">
        <f>X20-U20</f>
        <v>6.0850525996240599</v>
      </c>
      <c r="W20" s="1024">
        <f>X20-E20</f>
        <v>34.093222407512947</v>
      </c>
      <c r="X20" s="1023">
        <f>'1. MEF Progress'!L20</f>
        <v>34.194423367512947</v>
      </c>
      <c r="Y20" s="1023">
        <f>(AA20-X20)</f>
        <v>0.56891473976607898</v>
      </c>
      <c r="Z20" s="1024">
        <f>(AA20-E20)</f>
        <v>34.662137147279026</v>
      </c>
      <c r="AA20" s="1023">
        <f>('1. MEF Progress'!M20)</f>
        <v>34.763338107279026</v>
      </c>
      <c r="AB20" s="1023">
        <f>AD20-AA20</f>
        <v>1.572948742690059</v>
      </c>
      <c r="AC20" s="1024">
        <f>AD20-E20</f>
        <v>36.235085889969085</v>
      </c>
      <c r="AD20" s="1023">
        <f>('1. MEF Progress'!N20)</f>
        <v>36.336286849969085</v>
      </c>
      <c r="AE20" s="1036"/>
      <c r="AF20" s="1036"/>
      <c r="AG20" s="1036"/>
      <c r="AH20" s="1036"/>
      <c r="AI20" s="1036"/>
      <c r="AJ20" s="1036"/>
      <c r="AK20" s="1036"/>
      <c r="AL20" s="1037"/>
      <c r="AM20" s="1037"/>
      <c r="AN20" s="1037"/>
      <c r="AO20" s="1037"/>
      <c r="AP20" s="1038"/>
      <c r="AQ20" s="781"/>
      <c r="AR20" s="736">
        <f>E20+AP20</f>
        <v>0.10120096000000001</v>
      </c>
    </row>
    <row r="21" spans="2:44" ht="15" thickTop="1">
      <c r="B21" s="204" t="s">
        <v>4</v>
      </c>
      <c r="D21" s="204" t="s">
        <v>4</v>
      </c>
      <c r="P21" s="224"/>
      <c r="Q21" s="224"/>
      <c r="R21" s="224"/>
      <c r="S21" s="224"/>
      <c r="T21" s="224"/>
      <c r="U21" s="224"/>
      <c r="V21" s="224"/>
      <c r="W21" s="224"/>
      <c r="X21" s="224"/>
      <c r="Y21" s="224"/>
      <c r="Z21" s="224"/>
      <c r="AA21" s="224"/>
    </row>
    <row r="22" spans="2:44" ht="15" hidden="1" customHeight="1">
      <c r="B22" s="204" t="s">
        <v>4</v>
      </c>
      <c r="P22" s="224"/>
      <c r="Q22" s="224"/>
      <c r="R22" s="224"/>
      <c r="S22" s="224"/>
      <c r="T22" s="224"/>
      <c r="U22" s="224"/>
      <c r="V22" s="224"/>
      <c r="W22" s="224"/>
      <c r="X22" s="224"/>
      <c r="Y22" s="224"/>
      <c r="Z22" s="224"/>
      <c r="AA22" s="224"/>
    </row>
    <row r="23" spans="2:44" ht="14.25" hidden="1" customHeight="1">
      <c r="P23" s="224"/>
      <c r="Q23" s="224"/>
      <c r="R23" s="224"/>
      <c r="S23" s="224"/>
      <c r="T23" s="224"/>
      <c r="U23" s="224"/>
      <c r="V23" s="762"/>
      <c r="W23" s="762"/>
      <c r="X23" s="762"/>
      <c r="Y23" s="762"/>
      <c r="Z23" s="762"/>
      <c r="AA23" s="762"/>
    </row>
    <row r="24" spans="2:44" ht="29.25" hidden="1" customHeight="1" thickBot="1">
      <c r="Y24" s="762"/>
      <c r="Z24" s="762"/>
      <c r="AA24" s="762"/>
    </row>
    <row r="25" spans="2:44" hidden="1"/>
    <row r="26" spans="2:44" hidden="1"/>
    <row r="27" spans="2:44" hidden="1"/>
    <row r="28" spans="2:44" hidden="1"/>
    <row r="29" spans="2:44" hidden="1"/>
    <row r="30" spans="2:44" hidden="1"/>
    <row r="31" spans="2:44" ht="15.75" customHeight="1"/>
  </sheetData>
  <mergeCells count="20">
    <mergeCell ref="B1:V1"/>
    <mergeCell ref="B2:V2"/>
    <mergeCell ref="B3:V3"/>
    <mergeCell ref="B5:C6"/>
    <mergeCell ref="D5:D6"/>
    <mergeCell ref="E5:E6"/>
    <mergeCell ref="G4:AP4"/>
    <mergeCell ref="G5:I5"/>
    <mergeCell ref="J5:L5"/>
    <mergeCell ref="M5:O5"/>
    <mergeCell ref="P5:R5"/>
    <mergeCell ref="S5:U5"/>
    <mergeCell ref="V5:X5"/>
    <mergeCell ref="Y5:AA5"/>
    <mergeCell ref="AB5:AD5"/>
    <mergeCell ref="AR5:AR6"/>
    <mergeCell ref="AE5:AG5"/>
    <mergeCell ref="AH5:AJ5"/>
    <mergeCell ref="AK5:AM5"/>
    <mergeCell ref="AN5:AP5"/>
  </mergeCells>
  <printOptions headings="1"/>
  <pageMargins left="1" right="1" top="1" bottom="1" header="0.5" footer="0.5"/>
  <pageSetup paperSize="9" scale="51" orientation="landscape" r:id="rId1"/>
  <headerFooter>
    <oddHeader>&amp;LCFAVC Quarterly Report January-March 2021 &amp;RAnnex 1</oddHeader>
    <oddFooter>&amp;LAESA &amp; SBK</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99"/>
  </sheetPr>
  <dimension ref="A1:AT41"/>
  <sheetViews>
    <sheetView view="pageBreakPreview" topLeftCell="B1" zoomScale="81" zoomScaleNormal="81" zoomScaleSheetLayoutView="81" workbookViewId="0">
      <pane xSplit="3" ySplit="6" topLeftCell="H7" activePane="bottomRight" state="frozen"/>
      <selection activeCell="B1" sqref="B1"/>
      <selection pane="topRight" activeCell="E1" sqref="E1"/>
      <selection pane="bottomLeft" activeCell="B7" sqref="B7"/>
      <selection pane="bottomRight" activeCell="I10" sqref="I10"/>
    </sheetView>
  </sheetViews>
  <sheetFormatPr defaultColWidth="9.140625" defaultRowHeight="14.25"/>
  <cols>
    <col min="1" max="1" width="0" style="204" hidden="1" customWidth="1"/>
    <col min="2" max="2" width="5.7109375" style="204" customWidth="1"/>
    <col min="3" max="3" width="46.28515625" style="204" customWidth="1"/>
    <col min="4" max="4" width="14.5703125" style="204" customWidth="1"/>
    <col min="5" max="5" width="14.28515625" style="204" customWidth="1"/>
    <col min="6" max="6" width="0.85546875" style="204" hidden="1" customWidth="1"/>
    <col min="7" max="18" width="14.28515625" style="204" customWidth="1"/>
    <col min="19" max="19" width="1.140625" style="204" customWidth="1"/>
    <col min="20" max="20" width="20.42578125" style="204" customWidth="1"/>
    <col min="21" max="21" width="17" style="204" customWidth="1"/>
    <col min="22" max="22" width="19.85546875" style="204" customWidth="1"/>
    <col min="23" max="23" width="14.5703125" style="204" customWidth="1"/>
    <col min="24" max="24" width="19.85546875" style="204" customWidth="1"/>
    <col min="25" max="25" width="14.5703125" style="204" customWidth="1"/>
    <col min="26" max="26" width="19.85546875" style="204" customWidth="1"/>
    <col min="27" max="27" width="14.5703125" style="204" customWidth="1"/>
    <col min="28" max="28" width="19.85546875" style="204" customWidth="1"/>
    <col min="29" max="29" width="14.5703125" style="204" customWidth="1"/>
    <col min="30" max="30" width="19.85546875" style="204" customWidth="1"/>
    <col min="31" max="31" width="14.5703125" style="204" customWidth="1"/>
    <col min="32" max="32" width="19.85546875" style="204" customWidth="1"/>
    <col min="33" max="33" width="14.5703125" style="204" customWidth="1"/>
    <col min="34" max="34" width="7.140625" style="204" hidden="1" customWidth="1"/>
    <col min="35" max="35" width="48.42578125" style="204" hidden="1" customWidth="1"/>
    <col min="36" max="36" width="15.7109375" style="204" hidden="1" customWidth="1"/>
    <col min="37" max="39" width="16.7109375" style="204" hidden="1" customWidth="1"/>
    <col min="40" max="40" width="1.85546875" style="204" customWidth="1"/>
    <col min="41" max="42" width="12.42578125" style="204" customWidth="1"/>
    <col min="43" max="43" width="11.140625" style="204" customWidth="1"/>
    <col min="44" max="44" width="10.5703125" style="204" bestFit="1" customWidth="1"/>
    <col min="45" max="45" width="19.28515625" style="204" bestFit="1" customWidth="1"/>
    <col min="46" max="46" width="11.140625" style="224" bestFit="1" customWidth="1"/>
    <col min="47" max="16384" width="9.140625" style="204"/>
  </cols>
  <sheetData>
    <row r="1" spans="1:46" ht="23.1" customHeight="1">
      <c r="A1" s="204" t="s">
        <v>4</v>
      </c>
      <c r="B1" s="1582" t="s">
        <v>199</v>
      </c>
      <c r="C1" s="1582"/>
      <c r="D1" s="1582"/>
      <c r="E1" s="1582"/>
      <c r="F1" s="1582"/>
      <c r="G1" s="1582"/>
      <c r="H1" s="1582"/>
      <c r="I1" s="1582"/>
      <c r="J1" s="1582"/>
      <c r="K1" s="1582"/>
      <c r="L1" s="1582"/>
      <c r="M1" s="333"/>
      <c r="N1" s="333"/>
      <c r="O1" s="333"/>
      <c r="P1" s="333"/>
      <c r="Q1" s="333"/>
      <c r="R1" s="333"/>
      <c r="S1" s="333"/>
      <c r="T1" s="333"/>
      <c r="U1" s="333"/>
      <c r="V1" s="336"/>
      <c r="W1" s="336"/>
      <c r="X1" s="336"/>
      <c r="Y1" s="336"/>
      <c r="Z1" s="336"/>
      <c r="AA1" s="336"/>
      <c r="AB1" s="336"/>
      <c r="AC1" s="336"/>
      <c r="AD1" s="336"/>
      <c r="AE1" s="336"/>
      <c r="AF1" s="336"/>
      <c r="AG1" s="336"/>
      <c r="AH1" s="336"/>
      <c r="AI1" s="336"/>
      <c r="AJ1" s="336"/>
      <c r="AK1" s="336"/>
      <c r="AL1" s="336"/>
      <c r="AM1" s="336"/>
    </row>
    <row r="2" spans="1:46" ht="23.1" customHeight="1">
      <c r="B2" s="1583" t="s">
        <v>200</v>
      </c>
      <c r="C2" s="1583"/>
      <c r="D2" s="1583"/>
      <c r="E2" s="1583"/>
      <c r="F2" s="1583"/>
      <c r="G2" s="1583"/>
      <c r="H2" s="1583"/>
      <c r="I2" s="1583"/>
      <c r="J2" s="1583"/>
      <c r="K2" s="1583"/>
      <c r="L2" s="1583"/>
      <c r="M2" s="335"/>
      <c r="N2" s="335"/>
      <c r="O2" s="335"/>
      <c r="P2" s="335"/>
      <c r="Q2" s="335"/>
      <c r="R2" s="335"/>
      <c r="S2" s="335"/>
      <c r="T2" s="335"/>
      <c r="U2" s="335"/>
      <c r="V2" s="336"/>
      <c r="W2" s="336"/>
      <c r="X2" s="336"/>
      <c r="Y2" s="336"/>
      <c r="Z2" s="336"/>
      <c r="AA2" s="336"/>
      <c r="AB2" s="336"/>
      <c r="AC2" s="336"/>
      <c r="AD2" s="336"/>
      <c r="AE2" s="336"/>
      <c r="AF2" s="336"/>
      <c r="AG2" s="336"/>
      <c r="AH2" s="336"/>
      <c r="AI2" s="336"/>
      <c r="AJ2" s="336"/>
      <c r="AK2" s="336"/>
      <c r="AL2" s="336"/>
      <c r="AM2" s="336"/>
    </row>
    <row r="3" spans="1:46" ht="23.1" customHeight="1" thickBot="1">
      <c r="B3" s="1584" t="s">
        <v>285</v>
      </c>
      <c r="C3" s="1584"/>
      <c r="D3" s="1584"/>
      <c r="E3" s="1584"/>
      <c r="F3" s="1584"/>
      <c r="G3" s="1584"/>
      <c r="H3" s="1584"/>
      <c r="I3" s="1584"/>
      <c r="J3" s="1584"/>
      <c r="K3" s="1584"/>
      <c r="L3" s="1584"/>
      <c r="M3" s="334"/>
      <c r="N3" s="334"/>
      <c r="O3" s="334"/>
      <c r="P3" s="334"/>
      <c r="Q3" s="334"/>
      <c r="R3" s="334"/>
      <c r="S3" s="334"/>
      <c r="T3" s="334"/>
      <c r="U3" s="334"/>
      <c r="V3" s="336"/>
      <c r="W3" s="336"/>
      <c r="X3" s="336"/>
      <c r="Y3" s="336"/>
      <c r="Z3" s="336"/>
      <c r="AA3" s="336"/>
      <c r="AB3" s="336"/>
      <c r="AC3" s="336"/>
      <c r="AD3" s="336"/>
      <c r="AE3" s="336"/>
      <c r="AF3" s="336"/>
      <c r="AG3" s="336"/>
      <c r="AH3" s="336"/>
      <c r="AI3" s="336"/>
      <c r="AJ3" s="336"/>
      <c r="AK3" s="336"/>
      <c r="AL3" s="336"/>
      <c r="AM3" s="336"/>
    </row>
    <row r="4" spans="1:46" ht="23.1" customHeight="1" thickBot="1">
      <c r="B4" s="336"/>
      <c r="C4" s="336"/>
      <c r="D4" s="336" t="s">
        <v>217</v>
      </c>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803"/>
      <c r="AJ4" s="803"/>
      <c r="AK4" s="804">
        <v>2020</v>
      </c>
      <c r="AL4" s="1605">
        <v>2021</v>
      </c>
      <c r="AM4" s="1606"/>
      <c r="AN4" s="764"/>
    </row>
    <row r="5" spans="1:46" ht="18" customHeight="1">
      <c r="B5" s="1607" t="s">
        <v>111</v>
      </c>
      <c r="C5" s="1607"/>
      <c r="D5" s="1608" t="s">
        <v>78</v>
      </c>
      <c r="E5" s="1608" t="s">
        <v>794</v>
      </c>
      <c r="F5" s="1608"/>
      <c r="G5" s="1608"/>
      <c r="H5" s="1608"/>
      <c r="I5" s="1608"/>
      <c r="J5" s="1608"/>
      <c r="K5" s="1608"/>
      <c r="L5" s="1608"/>
      <c r="M5" s="1608"/>
      <c r="N5" s="1608"/>
      <c r="O5" s="1608"/>
      <c r="P5" s="1608"/>
      <c r="Q5" s="1608"/>
      <c r="R5" s="1608"/>
      <c r="S5" s="947"/>
      <c r="T5" s="1609" t="s">
        <v>810</v>
      </c>
      <c r="U5" s="1610"/>
      <c r="V5" s="1609" t="s">
        <v>776</v>
      </c>
      <c r="W5" s="1610"/>
      <c r="X5" s="1609" t="s">
        <v>777</v>
      </c>
      <c r="Y5" s="1610"/>
      <c r="Z5" s="1609" t="s">
        <v>778</v>
      </c>
      <c r="AA5" s="1610"/>
      <c r="AB5" s="1609" t="s">
        <v>779</v>
      </c>
      <c r="AC5" s="1610"/>
      <c r="AD5" s="1609" t="s">
        <v>780</v>
      </c>
      <c r="AE5" s="1610"/>
      <c r="AF5" s="1609" t="s">
        <v>781</v>
      </c>
      <c r="AG5" s="1610"/>
      <c r="AH5" s="336"/>
      <c r="AI5" s="791" t="s">
        <v>370</v>
      </c>
      <c r="AJ5" s="1613" t="s">
        <v>747</v>
      </c>
      <c r="AK5" s="792" t="s">
        <v>752</v>
      </c>
      <c r="AL5" s="792" t="s">
        <v>751</v>
      </c>
      <c r="AM5" s="792" t="s">
        <v>753</v>
      </c>
      <c r="AO5" s="1622" t="s">
        <v>602</v>
      </c>
      <c r="AP5" s="1624" t="s">
        <v>770</v>
      </c>
      <c r="AQ5" s="1624" t="s">
        <v>747</v>
      </c>
      <c r="AR5" s="1102" t="s">
        <v>226</v>
      </c>
      <c r="AS5" s="1611" t="s">
        <v>264</v>
      </c>
    </row>
    <row r="6" spans="1:46" ht="54.75" customHeight="1" thickBot="1">
      <c r="B6" s="1607"/>
      <c r="C6" s="1607"/>
      <c r="D6" s="1608"/>
      <c r="E6" s="807" t="s">
        <v>198</v>
      </c>
      <c r="F6" s="807"/>
      <c r="G6" s="807" t="s">
        <v>807</v>
      </c>
      <c r="H6" s="807" t="s">
        <v>796</v>
      </c>
      <c r="I6" s="829" t="s">
        <v>797</v>
      </c>
      <c r="J6" s="829" t="s">
        <v>798</v>
      </c>
      <c r="K6" s="829" t="s">
        <v>799</v>
      </c>
      <c r="L6" s="829" t="s">
        <v>800</v>
      </c>
      <c r="M6" s="829" t="s">
        <v>801</v>
      </c>
      <c r="N6" s="829" t="s">
        <v>802</v>
      </c>
      <c r="O6" s="829" t="s">
        <v>803</v>
      </c>
      <c r="P6" s="1006" t="s">
        <v>804</v>
      </c>
      <c r="Q6" s="829" t="s">
        <v>805</v>
      </c>
      <c r="R6" s="829" t="s">
        <v>806</v>
      </c>
      <c r="S6" s="830"/>
      <c r="T6" s="1064" t="s">
        <v>715</v>
      </c>
      <c r="U6" s="1064" t="s">
        <v>759</v>
      </c>
      <c r="V6" s="947" t="s">
        <v>715</v>
      </c>
      <c r="W6" s="947" t="s">
        <v>759</v>
      </c>
      <c r="X6" s="947" t="s">
        <v>715</v>
      </c>
      <c r="Y6" s="947" t="s">
        <v>759</v>
      </c>
      <c r="Z6" s="947" t="s">
        <v>715</v>
      </c>
      <c r="AA6" s="947" t="s">
        <v>759</v>
      </c>
      <c r="AB6" s="947" t="s">
        <v>715</v>
      </c>
      <c r="AC6" s="947" t="s">
        <v>759</v>
      </c>
      <c r="AD6" s="947" t="s">
        <v>715</v>
      </c>
      <c r="AE6" s="947" t="s">
        <v>759</v>
      </c>
      <c r="AF6" s="948" t="s">
        <v>715</v>
      </c>
      <c r="AG6" s="947" t="s">
        <v>759</v>
      </c>
      <c r="AH6" s="951" t="s">
        <v>473</v>
      </c>
      <c r="AI6" s="949" t="s">
        <v>602</v>
      </c>
      <c r="AJ6" s="1619"/>
      <c r="AK6" s="793" t="s">
        <v>376</v>
      </c>
      <c r="AL6" s="793" t="s">
        <v>376</v>
      </c>
      <c r="AM6" s="793" t="s">
        <v>376</v>
      </c>
      <c r="AO6" s="1623"/>
      <c r="AP6" s="1625"/>
      <c r="AQ6" s="1625"/>
      <c r="AR6" s="1103" t="s">
        <v>771</v>
      </c>
      <c r="AS6" s="1612"/>
    </row>
    <row r="7" spans="1:46" ht="30" customHeight="1">
      <c r="B7" s="808">
        <v>1</v>
      </c>
      <c r="C7" s="344" t="s">
        <v>115</v>
      </c>
      <c r="D7" s="342">
        <v>5.0000000000000001E-3</v>
      </c>
      <c r="E7" s="991">
        <v>0.5</v>
      </c>
      <c r="F7" s="342"/>
      <c r="G7" s="995">
        <v>0.5</v>
      </c>
      <c r="H7" s="995">
        <v>0.5</v>
      </c>
      <c r="I7" s="995">
        <v>0.5</v>
      </c>
      <c r="J7" s="995">
        <v>0.5</v>
      </c>
      <c r="K7" s="995">
        <v>0.5</v>
      </c>
      <c r="L7" s="995">
        <v>0.5</v>
      </c>
      <c r="M7" s="995">
        <v>0.5</v>
      </c>
      <c r="N7" s="995">
        <v>0.5</v>
      </c>
      <c r="O7" s="995">
        <v>0.5</v>
      </c>
      <c r="P7" s="995">
        <v>0.5</v>
      </c>
      <c r="Q7" s="995"/>
      <c r="R7" s="995"/>
      <c r="S7" s="342"/>
      <c r="T7" s="1074">
        <v>0.5</v>
      </c>
      <c r="U7" s="995"/>
      <c r="V7" s="1007">
        <v>0.5</v>
      </c>
      <c r="W7" s="995">
        <v>3.5</v>
      </c>
      <c r="X7" s="1007">
        <v>0.5</v>
      </c>
      <c r="Y7" s="995">
        <v>0</v>
      </c>
      <c r="Z7" s="1007">
        <v>0.5</v>
      </c>
      <c r="AA7" s="995">
        <v>0</v>
      </c>
      <c r="AB7" s="1007">
        <v>0.5</v>
      </c>
      <c r="AC7" s="995">
        <v>0</v>
      </c>
      <c r="AD7" s="342"/>
      <c r="AE7" s="342"/>
      <c r="AF7" s="342"/>
      <c r="AG7" s="342"/>
      <c r="AH7" s="951">
        <v>1</v>
      </c>
      <c r="AI7" s="950" t="s">
        <v>115</v>
      </c>
      <c r="AJ7" s="794">
        <v>5.0000000000000001E-3</v>
      </c>
      <c r="AK7" s="1055">
        <v>0.5</v>
      </c>
      <c r="AL7" s="1055">
        <v>0.5</v>
      </c>
      <c r="AM7" s="1055">
        <v>0.5</v>
      </c>
      <c r="AO7" s="1097" t="s">
        <v>772</v>
      </c>
      <c r="AP7" s="809" t="s">
        <v>229</v>
      </c>
      <c r="AQ7" s="810">
        <v>0.05</v>
      </c>
      <c r="AR7" s="813">
        <v>4620</v>
      </c>
      <c r="AS7" s="1094">
        <v>2.31</v>
      </c>
      <c r="AT7" s="942"/>
    </row>
    <row r="8" spans="1:46" ht="30" customHeight="1">
      <c r="B8" s="808">
        <v>2</v>
      </c>
      <c r="C8" s="344" t="s">
        <v>80</v>
      </c>
      <c r="D8" s="342">
        <v>5.0000000000000001E-3</v>
      </c>
      <c r="E8" s="991">
        <v>0.43</v>
      </c>
      <c r="F8" s="342"/>
      <c r="G8" s="995">
        <v>0.43</v>
      </c>
      <c r="H8" s="995">
        <v>0.45</v>
      </c>
      <c r="I8" s="995">
        <v>0.45</v>
      </c>
      <c r="J8" s="995">
        <v>0.45</v>
      </c>
      <c r="K8" s="995">
        <v>0.45</v>
      </c>
      <c r="L8" s="995">
        <v>0.45</v>
      </c>
      <c r="M8" s="995">
        <v>0.45</v>
      </c>
      <c r="N8" s="995">
        <v>0.45</v>
      </c>
      <c r="O8" s="995">
        <v>0.45</v>
      </c>
      <c r="P8" s="995">
        <v>0.45</v>
      </c>
      <c r="Q8" s="995"/>
      <c r="R8" s="995"/>
      <c r="S8" s="342"/>
      <c r="T8" s="1074">
        <v>0.45</v>
      </c>
      <c r="U8" s="995"/>
      <c r="V8" s="1007">
        <v>0.45</v>
      </c>
      <c r="W8" s="995">
        <v>3.1300000000000003</v>
      </c>
      <c r="X8" s="1007">
        <v>0.45</v>
      </c>
      <c r="Y8" s="995">
        <v>2.0000000000000018E-2</v>
      </c>
      <c r="Z8" s="1007">
        <v>0.45</v>
      </c>
      <c r="AA8" s="995">
        <v>2.0000000000000018E-2</v>
      </c>
      <c r="AB8" s="1007">
        <v>0.45</v>
      </c>
      <c r="AC8" s="995">
        <v>2.0000000000000018E-2</v>
      </c>
      <c r="AD8" s="342"/>
      <c r="AE8" s="342"/>
      <c r="AF8" s="342"/>
      <c r="AG8" s="342"/>
      <c r="AH8" s="951">
        <v>2</v>
      </c>
      <c r="AI8" s="950" t="s">
        <v>80</v>
      </c>
      <c r="AJ8" s="794">
        <v>5.0000000000000001E-3</v>
      </c>
      <c r="AK8" s="1055">
        <v>0.43</v>
      </c>
      <c r="AL8" s="1055">
        <v>0.45</v>
      </c>
      <c r="AM8" s="1055">
        <v>0.45</v>
      </c>
      <c r="AO8" s="943" t="s">
        <v>773</v>
      </c>
      <c r="AP8" s="809" t="s">
        <v>774</v>
      </c>
      <c r="AQ8" s="810">
        <v>0.05</v>
      </c>
      <c r="AR8" s="812">
        <v>160</v>
      </c>
      <c r="AS8" s="1094">
        <v>0.08</v>
      </c>
      <c r="AT8" s="942"/>
    </row>
    <row r="9" spans="1:46" ht="30" customHeight="1">
      <c r="B9" s="808">
        <v>3</v>
      </c>
      <c r="C9" s="344" t="s">
        <v>88</v>
      </c>
      <c r="D9" s="342">
        <v>0.04</v>
      </c>
      <c r="E9" s="991">
        <v>1</v>
      </c>
      <c r="F9" s="342"/>
      <c r="G9" s="995">
        <v>1.1200000000000001</v>
      </c>
      <c r="H9" s="995">
        <v>1.1200000000000001</v>
      </c>
      <c r="I9" s="995">
        <v>1.3</v>
      </c>
      <c r="J9" s="995">
        <v>1.33</v>
      </c>
      <c r="K9" s="995">
        <v>1.36</v>
      </c>
      <c r="L9" s="995">
        <v>1.36</v>
      </c>
      <c r="M9" s="995">
        <v>1.36</v>
      </c>
      <c r="N9" s="995">
        <v>1.36</v>
      </c>
      <c r="O9" s="995">
        <v>1.36</v>
      </c>
      <c r="P9" s="995">
        <v>1.36</v>
      </c>
      <c r="Q9" s="995"/>
      <c r="R9" s="995"/>
      <c r="S9" s="342"/>
      <c r="T9" s="1074">
        <v>1.36</v>
      </c>
      <c r="U9" s="995"/>
      <c r="V9" s="1007">
        <v>1.36</v>
      </c>
      <c r="W9" s="995">
        <v>8.9500000000000011</v>
      </c>
      <c r="X9" s="1007">
        <v>1.36</v>
      </c>
      <c r="Y9" s="995">
        <v>0.3600000000000001</v>
      </c>
      <c r="Z9" s="1007">
        <v>1.36</v>
      </c>
      <c r="AA9" s="995">
        <v>0.3600000000000001</v>
      </c>
      <c r="AB9" s="1007">
        <v>1.36</v>
      </c>
      <c r="AC9" s="995">
        <v>0.3600000000000001</v>
      </c>
      <c r="AD9" s="342"/>
      <c r="AE9" s="342"/>
      <c r="AF9" s="342"/>
      <c r="AG9" s="342"/>
      <c r="AH9" s="951">
        <v>3</v>
      </c>
      <c r="AI9" s="950" t="s">
        <v>88</v>
      </c>
      <c r="AJ9" s="794">
        <v>0.04</v>
      </c>
      <c r="AK9" s="1055">
        <v>1</v>
      </c>
      <c r="AL9" s="1055">
        <v>1.36</v>
      </c>
      <c r="AM9" s="1055">
        <v>1.36</v>
      </c>
      <c r="AO9" s="1626" t="s">
        <v>748</v>
      </c>
      <c r="AP9" s="809" t="s">
        <v>229</v>
      </c>
      <c r="AQ9" s="811">
        <v>0.27</v>
      </c>
      <c r="AR9" s="812">
        <v>3040.9233811111117</v>
      </c>
      <c r="AS9" s="1094">
        <v>8.2104931290000014</v>
      </c>
      <c r="AT9" s="942"/>
    </row>
    <row r="10" spans="1:46" ht="30" customHeight="1">
      <c r="B10" s="808">
        <v>4</v>
      </c>
      <c r="C10" s="344" t="s">
        <v>89</v>
      </c>
      <c r="D10" s="342">
        <v>0.02</v>
      </c>
      <c r="E10" s="991">
        <v>0.03</v>
      </c>
      <c r="F10" s="342"/>
      <c r="G10" s="995">
        <v>0.04</v>
      </c>
      <c r="H10" s="995">
        <v>0.04</v>
      </c>
      <c r="I10" s="995">
        <v>0.05</v>
      </c>
      <c r="J10" s="995">
        <v>0.06</v>
      </c>
      <c r="K10" s="995">
        <v>7.0000000000000007E-2</v>
      </c>
      <c r="L10" s="995">
        <v>0.03</v>
      </c>
      <c r="M10" s="995">
        <v>0.03</v>
      </c>
      <c r="N10" s="995">
        <v>0.03</v>
      </c>
      <c r="O10" s="995">
        <v>0.03</v>
      </c>
      <c r="P10" s="995">
        <v>0.03</v>
      </c>
      <c r="Q10" s="995"/>
      <c r="R10" s="995"/>
      <c r="S10" s="342"/>
      <c r="T10" s="1074">
        <v>0.03</v>
      </c>
      <c r="U10" s="995"/>
      <c r="V10" s="1007">
        <v>0.03</v>
      </c>
      <c r="W10" s="995">
        <v>0.32000000000000006</v>
      </c>
      <c r="X10" s="1007">
        <v>0.03</v>
      </c>
      <c r="Y10" s="995">
        <v>0</v>
      </c>
      <c r="Z10" s="1007">
        <v>0.03</v>
      </c>
      <c r="AA10" s="995">
        <v>0</v>
      </c>
      <c r="AB10" s="1007">
        <v>0.03</v>
      </c>
      <c r="AC10" s="995">
        <v>0</v>
      </c>
      <c r="AD10" s="342"/>
      <c r="AE10" s="342"/>
      <c r="AF10" s="342"/>
      <c r="AG10" s="342"/>
      <c r="AH10" s="951">
        <v>4</v>
      </c>
      <c r="AI10" s="950" t="s">
        <v>89</v>
      </c>
      <c r="AJ10" s="794">
        <v>0.02</v>
      </c>
      <c r="AK10" s="1055">
        <v>0.03</v>
      </c>
      <c r="AL10" s="1055">
        <v>0.03</v>
      </c>
      <c r="AM10" s="1055">
        <v>0.03</v>
      </c>
      <c r="AO10" s="1626"/>
      <c r="AP10" s="809" t="s">
        <v>230</v>
      </c>
      <c r="AQ10" s="811">
        <v>0.13500000000000001</v>
      </c>
      <c r="AR10" s="812">
        <v>3932.1799470899473</v>
      </c>
      <c r="AS10" s="1094">
        <v>5.308442928571429</v>
      </c>
      <c r="AT10" s="942"/>
    </row>
    <row r="11" spans="1:46" ht="30" customHeight="1">
      <c r="B11" s="808">
        <v>5</v>
      </c>
      <c r="C11" s="344" t="s">
        <v>90</v>
      </c>
      <c r="D11" s="342">
        <v>0.02</v>
      </c>
      <c r="E11" s="991">
        <v>0.02</v>
      </c>
      <c r="F11" s="342"/>
      <c r="G11" s="995">
        <v>0.03</v>
      </c>
      <c r="H11" s="995">
        <v>0.03</v>
      </c>
      <c r="I11" s="995">
        <v>0.04</v>
      </c>
      <c r="J11" s="995">
        <v>0.04</v>
      </c>
      <c r="K11" s="995">
        <v>0.04</v>
      </c>
      <c r="L11" s="995">
        <v>0.03</v>
      </c>
      <c r="M11" s="995">
        <v>0.03</v>
      </c>
      <c r="N11" s="995">
        <v>0.03</v>
      </c>
      <c r="O11" s="995">
        <v>0.03</v>
      </c>
      <c r="P11" s="995">
        <v>0.03</v>
      </c>
      <c r="Q11" s="995"/>
      <c r="R11" s="995"/>
      <c r="S11" s="342"/>
      <c r="T11" s="1074">
        <v>0.03</v>
      </c>
      <c r="U11" s="995"/>
      <c r="V11" s="1007">
        <v>0.03</v>
      </c>
      <c r="W11" s="995">
        <v>0.24000000000000002</v>
      </c>
      <c r="X11" s="1007">
        <v>0.03</v>
      </c>
      <c r="Y11" s="995">
        <v>9.9999999999999985E-3</v>
      </c>
      <c r="Z11" s="1007">
        <v>0.03</v>
      </c>
      <c r="AA11" s="995">
        <v>9.9999999999999985E-3</v>
      </c>
      <c r="AB11" s="1007">
        <v>0.03</v>
      </c>
      <c r="AC11" s="995">
        <v>9.9999999999999985E-3</v>
      </c>
      <c r="AD11" s="342"/>
      <c r="AE11" s="342"/>
      <c r="AF11" s="342"/>
      <c r="AG11" s="342"/>
      <c r="AH11" s="951">
        <v>5</v>
      </c>
      <c r="AI11" s="950" t="s">
        <v>90</v>
      </c>
      <c r="AJ11" s="794">
        <v>0.02</v>
      </c>
      <c r="AK11" s="1055">
        <v>0.02</v>
      </c>
      <c r="AL11" s="1055">
        <v>0.03</v>
      </c>
      <c r="AM11" s="1055">
        <v>0.03</v>
      </c>
      <c r="AO11" s="1626"/>
      <c r="AP11" s="809" t="s">
        <v>231</v>
      </c>
      <c r="AQ11" s="811">
        <v>0.13500000000000001</v>
      </c>
      <c r="AR11" s="812">
        <v>4144.4666666666672</v>
      </c>
      <c r="AS11" s="1094">
        <v>5.5950300000000004</v>
      </c>
      <c r="AT11" s="942"/>
    </row>
    <row r="12" spans="1:46" ht="30" customHeight="1" thickBot="1">
      <c r="B12" s="952">
        <v>6</v>
      </c>
      <c r="C12" s="766" t="s">
        <v>91</v>
      </c>
      <c r="D12" s="767">
        <v>0.01</v>
      </c>
      <c r="E12" s="992">
        <v>0.03</v>
      </c>
      <c r="F12" s="767"/>
      <c r="G12" s="999">
        <v>0.03</v>
      </c>
      <c r="H12" s="999">
        <v>0.03</v>
      </c>
      <c r="I12" s="999">
        <v>0.04</v>
      </c>
      <c r="J12" s="999">
        <v>0.04</v>
      </c>
      <c r="K12" s="999">
        <v>0.04</v>
      </c>
      <c r="L12" s="999">
        <v>0.02</v>
      </c>
      <c r="M12" s="995">
        <v>0.02</v>
      </c>
      <c r="N12" s="995">
        <v>0.03</v>
      </c>
      <c r="O12" s="995">
        <v>0.03</v>
      </c>
      <c r="P12" s="995">
        <v>0.03</v>
      </c>
      <c r="Q12" s="999"/>
      <c r="R12" s="999"/>
      <c r="S12" s="342"/>
      <c r="T12" s="1074">
        <v>0.02</v>
      </c>
      <c r="U12" s="995"/>
      <c r="V12" s="1007">
        <v>0.02</v>
      </c>
      <c r="W12" s="995">
        <v>0.22</v>
      </c>
      <c r="X12" s="1007">
        <v>0.03</v>
      </c>
      <c r="Y12" s="995">
        <v>0</v>
      </c>
      <c r="Z12" s="1007">
        <v>0.03</v>
      </c>
      <c r="AA12" s="995">
        <v>0</v>
      </c>
      <c r="AB12" s="1007">
        <v>0.03</v>
      </c>
      <c r="AC12" s="995">
        <v>0</v>
      </c>
      <c r="AD12" s="342"/>
      <c r="AE12" s="342"/>
      <c r="AF12" s="342"/>
      <c r="AG12" s="342"/>
      <c r="AH12" s="951">
        <v>6</v>
      </c>
      <c r="AI12" s="950" t="s">
        <v>91</v>
      </c>
      <c r="AJ12" s="794">
        <v>0.01</v>
      </c>
      <c r="AK12" s="1055">
        <v>0.03</v>
      </c>
      <c r="AL12" s="1055">
        <v>0.02</v>
      </c>
      <c r="AM12" s="1055">
        <v>0.02</v>
      </c>
      <c r="AO12" s="1626" t="s">
        <v>749</v>
      </c>
      <c r="AP12" s="809" t="s">
        <v>229</v>
      </c>
      <c r="AQ12" s="811">
        <v>0.126</v>
      </c>
      <c r="AR12" s="812">
        <v>4611.4134294068508</v>
      </c>
      <c r="AS12" s="1094">
        <v>5.8103809210526318</v>
      </c>
      <c r="AT12" s="942"/>
    </row>
    <row r="13" spans="1:46" ht="30" customHeight="1">
      <c r="B13" s="953">
        <v>7</v>
      </c>
      <c r="C13" s="769" t="s">
        <v>81</v>
      </c>
      <c r="D13" s="770">
        <v>0.27</v>
      </c>
      <c r="E13" s="993">
        <v>1.4295060000000004</v>
      </c>
      <c r="F13" s="770"/>
      <c r="G13" s="993">
        <v>1.8992979057600001</v>
      </c>
      <c r="H13" s="993">
        <v>2.1023069670000001</v>
      </c>
      <c r="I13" s="993">
        <v>2.8322881290000002</v>
      </c>
      <c r="J13" s="1001">
        <v>4.0255531289999995</v>
      </c>
      <c r="K13" s="1001">
        <v>6.0165331290000008</v>
      </c>
      <c r="L13" s="1001">
        <v>8.2104931290000014</v>
      </c>
      <c r="M13" s="1001">
        <v>8.2126831290000002</v>
      </c>
      <c r="N13" s="1001">
        <v>8.2620931290000001</v>
      </c>
      <c r="O13" s="1001">
        <v>8.6335848789999989</v>
      </c>
      <c r="P13" s="1001">
        <v>9.0236512164999994</v>
      </c>
      <c r="Q13" s="1001"/>
      <c r="R13" s="1001"/>
      <c r="S13" s="349"/>
      <c r="T13" s="1074">
        <v>8.2104931290000014</v>
      </c>
      <c r="U13" s="995"/>
      <c r="V13" s="1007">
        <v>8.2126831290000002</v>
      </c>
      <c r="W13" s="995">
        <v>6.7831771290000002</v>
      </c>
      <c r="X13" s="1007">
        <v>8.2620931290000001</v>
      </c>
      <c r="Y13" s="995">
        <v>6.8325871290000002</v>
      </c>
      <c r="Z13" s="1007">
        <v>8.6335848789999989</v>
      </c>
      <c r="AA13" s="995">
        <v>7.204078878999999</v>
      </c>
      <c r="AB13" s="1007">
        <v>9.0236512164999994</v>
      </c>
      <c r="AC13" s="995">
        <v>7.5941452164999994</v>
      </c>
      <c r="AD13" s="342"/>
      <c r="AE13" s="342"/>
      <c r="AF13" s="342"/>
      <c r="AG13" s="342"/>
      <c r="AH13" s="951">
        <v>7</v>
      </c>
      <c r="AI13" s="950" t="s">
        <v>81</v>
      </c>
      <c r="AJ13" s="794">
        <v>0.27</v>
      </c>
      <c r="AK13" s="1055">
        <v>1.4295060000000004</v>
      </c>
      <c r="AL13" s="1055">
        <v>8.2104931290000014</v>
      </c>
      <c r="AM13" s="1055">
        <v>8.2126831290000002</v>
      </c>
      <c r="AO13" s="1626"/>
      <c r="AP13" s="809" t="s">
        <v>230</v>
      </c>
      <c r="AQ13" s="811">
        <v>5.3999999999999999E-2</v>
      </c>
      <c r="AR13" s="812">
        <v>6053.8065843621407</v>
      </c>
      <c r="AS13" s="1094">
        <v>3.269055555555556</v>
      </c>
      <c r="AT13" s="942"/>
    </row>
    <row r="14" spans="1:46" ht="30" customHeight="1">
      <c r="B14" s="808">
        <v>8</v>
      </c>
      <c r="C14" s="344" t="s">
        <v>92</v>
      </c>
      <c r="D14" s="342">
        <v>0.13500000000000001</v>
      </c>
      <c r="E14" s="994">
        <v>1.5090000000000001E-2</v>
      </c>
      <c r="F14" s="342"/>
      <c r="G14" s="994">
        <v>2.3096288888888887</v>
      </c>
      <c r="H14" s="994">
        <v>2.5439079166666669</v>
      </c>
      <c r="I14" s="994">
        <v>3.6322883611111116</v>
      </c>
      <c r="J14" s="996">
        <v>3.6322883611111116</v>
      </c>
      <c r="K14" s="996">
        <v>3.6322883611111116</v>
      </c>
      <c r="L14" s="996">
        <v>5.308442928571429</v>
      </c>
      <c r="M14" s="996">
        <v>5.308442928571429</v>
      </c>
      <c r="N14" s="996">
        <v>5.308442928571429</v>
      </c>
      <c r="O14" s="996">
        <v>5.3362207063492066</v>
      </c>
      <c r="P14" s="996">
        <v>5.3362207063492066</v>
      </c>
      <c r="Q14" s="996"/>
      <c r="R14" s="996"/>
      <c r="S14" s="349"/>
      <c r="T14" s="1074">
        <v>5.308442928571429</v>
      </c>
      <c r="U14" s="995"/>
      <c r="V14" s="1007">
        <v>5.308442928571429</v>
      </c>
      <c r="W14" s="995">
        <v>5.2933529285714291</v>
      </c>
      <c r="X14" s="1007">
        <v>5.308442928571429</v>
      </c>
      <c r="Y14" s="995">
        <v>5.2933529285714291</v>
      </c>
      <c r="Z14" s="1007">
        <v>5.3362207063492066</v>
      </c>
      <c r="AA14" s="995">
        <v>5.3211307063492068</v>
      </c>
      <c r="AB14" s="1007">
        <v>5.3362207063492066</v>
      </c>
      <c r="AC14" s="995">
        <v>5.3211307063492068</v>
      </c>
      <c r="AD14" s="342"/>
      <c r="AE14" s="342"/>
      <c r="AF14" s="342"/>
      <c r="AG14" s="342"/>
      <c r="AH14" s="951">
        <v>8</v>
      </c>
      <c r="AI14" s="950" t="s">
        <v>92</v>
      </c>
      <c r="AJ14" s="794">
        <v>0.13500000000000001</v>
      </c>
      <c r="AK14" s="1055">
        <v>1.5090000000000001E-2</v>
      </c>
      <c r="AL14" s="1055">
        <v>5.308442928571429</v>
      </c>
      <c r="AM14" s="1055">
        <v>5.308442928571429</v>
      </c>
      <c r="AO14" s="943" t="s">
        <v>750</v>
      </c>
      <c r="AP14" s="809" t="s">
        <v>229</v>
      </c>
      <c r="AQ14" s="811">
        <v>0.13500000000000001</v>
      </c>
      <c r="AR14" s="812">
        <v>2493.7037037037035</v>
      </c>
      <c r="AS14" s="1094">
        <v>3.3664999999999998</v>
      </c>
      <c r="AT14" s="942"/>
    </row>
    <row r="15" spans="1:46" ht="30" customHeight="1">
      <c r="B15" s="808">
        <v>9</v>
      </c>
      <c r="C15" s="344" t="s">
        <v>93</v>
      </c>
      <c r="D15" s="342">
        <v>0.13500000000000001</v>
      </c>
      <c r="E15" s="994">
        <v>2.1074999999999999</v>
      </c>
      <c r="F15" s="342"/>
      <c r="G15" s="994">
        <v>2.430393</v>
      </c>
      <c r="H15" s="994">
        <v>2.5782075</v>
      </c>
      <c r="I15" s="994">
        <v>3.1049565000000001</v>
      </c>
      <c r="J15" s="996">
        <v>4.5064964999999999</v>
      </c>
      <c r="K15" s="996">
        <v>5.0326965000000001</v>
      </c>
      <c r="L15" s="996">
        <v>5.5950300000000004</v>
      </c>
      <c r="M15" s="996">
        <v>6.1391880000000008</v>
      </c>
      <c r="N15" s="996">
        <v>7.2071880000000004</v>
      </c>
      <c r="O15" s="996">
        <v>8.0591880000000007</v>
      </c>
      <c r="P15" s="996">
        <v>9.4168482000000004</v>
      </c>
      <c r="Q15" s="996"/>
      <c r="R15" s="996"/>
      <c r="S15" s="349"/>
      <c r="T15" s="1074">
        <v>5.5950300000000004</v>
      </c>
      <c r="U15" s="995"/>
      <c r="V15" s="1007">
        <v>6.1391880000000008</v>
      </c>
      <c r="W15" s="995">
        <v>4.0316880000000008</v>
      </c>
      <c r="X15" s="1007">
        <v>7.2071880000000004</v>
      </c>
      <c r="Y15" s="995">
        <v>5.0996880000000004</v>
      </c>
      <c r="Z15" s="1007">
        <v>8.0591880000000007</v>
      </c>
      <c r="AA15" s="995">
        <v>5.9516880000000008</v>
      </c>
      <c r="AB15" s="1007">
        <v>9.4168482000000004</v>
      </c>
      <c r="AC15" s="995">
        <v>7.3093482000000005</v>
      </c>
      <c r="AD15" s="342"/>
      <c r="AE15" s="342"/>
      <c r="AF15" s="342"/>
      <c r="AG15" s="342"/>
      <c r="AH15" s="951">
        <v>9</v>
      </c>
      <c r="AI15" s="950" t="s">
        <v>93</v>
      </c>
      <c r="AJ15" s="794">
        <v>0.13500000000000001</v>
      </c>
      <c r="AK15" s="1055">
        <v>2.1074999999999999</v>
      </c>
      <c r="AL15" s="1055">
        <v>5.5950300000000004</v>
      </c>
      <c r="AM15" s="1055">
        <v>6.1391880000000008</v>
      </c>
      <c r="AO15" s="944"/>
      <c r="AP15" s="809" t="s">
        <v>775</v>
      </c>
      <c r="AQ15" s="811">
        <v>4.4999999999999998E-2</v>
      </c>
      <c r="AR15" s="812">
        <v>543.37962962962956</v>
      </c>
      <c r="AS15" s="1094">
        <v>0.2445208333333333</v>
      </c>
      <c r="AT15" s="942"/>
    </row>
    <row r="16" spans="1:46" ht="30" customHeight="1" thickBot="1">
      <c r="B16" s="808">
        <v>10</v>
      </c>
      <c r="C16" s="344" t="s">
        <v>196</v>
      </c>
      <c r="D16" s="342">
        <v>4.4999999999999998E-2</v>
      </c>
      <c r="E16" s="1053">
        <v>0.20649999999999999</v>
      </c>
      <c r="F16" s="1054"/>
      <c r="G16" s="1053">
        <v>0.22472916666666665</v>
      </c>
      <c r="H16" s="996">
        <v>0.22472916666666665</v>
      </c>
      <c r="I16" s="996">
        <v>0.2445208333333333</v>
      </c>
      <c r="J16" s="996">
        <v>0.2445208333333333</v>
      </c>
      <c r="K16" s="996">
        <v>0.2445208333333333</v>
      </c>
      <c r="L16" s="996">
        <v>0.2445208333333333</v>
      </c>
      <c r="M16" s="996">
        <v>0.2445208333333333</v>
      </c>
      <c r="N16" s="996">
        <v>0.2445208333333333</v>
      </c>
      <c r="O16" s="996">
        <v>0.2445208333333333</v>
      </c>
      <c r="P16" s="996">
        <v>0.2445208333333333</v>
      </c>
      <c r="Q16" s="994"/>
      <c r="R16" s="994"/>
      <c r="S16" s="345"/>
      <c r="T16" s="1074">
        <v>0.2445208333333333</v>
      </c>
      <c r="U16" s="995"/>
      <c r="V16" s="1007">
        <v>0.2445208333333333</v>
      </c>
      <c r="W16" s="995">
        <v>3.8020833333333309E-2</v>
      </c>
      <c r="X16" s="1007">
        <v>0.2445208333333333</v>
      </c>
      <c r="Y16" s="995">
        <v>3.8020833333333309E-2</v>
      </c>
      <c r="Z16" s="1007">
        <v>0.2445208333333333</v>
      </c>
      <c r="AA16" s="995">
        <v>3.8020833333333309E-2</v>
      </c>
      <c r="AB16" s="1007">
        <v>0.2445208333333333</v>
      </c>
      <c r="AC16" s="995">
        <v>3.8020833333333309E-2</v>
      </c>
      <c r="AD16" s="342"/>
      <c r="AE16" s="342"/>
      <c r="AF16" s="342"/>
      <c r="AG16" s="342"/>
      <c r="AH16" s="951">
        <v>10</v>
      </c>
      <c r="AI16" s="950" t="s">
        <v>196</v>
      </c>
      <c r="AJ16" s="794">
        <v>4.4999999999999998E-2</v>
      </c>
      <c r="AK16" s="1055">
        <v>0.20649999999999999</v>
      </c>
      <c r="AL16" s="1055">
        <v>0.2445208333333333</v>
      </c>
      <c r="AM16" s="1055">
        <v>0.2445208333333333</v>
      </c>
      <c r="AO16" s="1620" t="s">
        <v>9</v>
      </c>
      <c r="AP16" s="1621"/>
      <c r="AQ16" s="945">
        <v>1</v>
      </c>
      <c r="AR16" s="946">
        <v>29599.873341970051</v>
      </c>
      <c r="AS16" s="1095">
        <v>0.34194423367512955</v>
      </c>
      <c r="AT16" s="942"/>
    </row>
    <row r="17" spans="2:39" ht="30" customHeight="1">
      <c r="B17" s="808">
        <v>11</v>
      </c>
      <c r="C17" s="344" t="s">
        <v>82</v>
      </c>
      <c r="D17" s="342">
        <v>0.126</v>
      </c>
      <c r="E17" s="996">
        <v>2.2935000000000003</v>
      </c>
      <c r="F17" s="342"/>
      <c r="G17" s="996">
        <v>2.534675</v>
      </c>
      <c r="H17" s="994">
        <v>2.6822250000000003</v>
      </c>
      <c r="I17" s="994">
        <v>3.1049500000000001</v>
      </c>
      <c r="J17" s="996">
        <v>5.0383875000000007</v>
      </c>
      <c r="K17" s="996">
        <v>5.5813874999999999</v>
      </c>
      <c r="L17" s="996">
        <v>5.8103809210526318</v>
      </c>
      <c r="M17" s="996">
        <v>5.8193921052631579</v>
      </c>
      <c r="N17" s="996">
        <v>5.9208197368421054</v>
      </c>
      <c r="O17" s="996">
        <v>7.2018339035087724</v>
      </c>
      <c r="P17" s="996">
        <v>8.5468987785087709</v>
      </c>
      <c r="Q17" s="996"/>
      <c r="R17" s="996"/>
      <c r="S17" s="349"/>
      <c r="T17" s="1074">
        <v>5.8103809210526318</v>
      </c>
      <c r="U17" s="995"/>
      <c r="V17" s="1007">
        <v>5.8193921052631579</v>
      </c>
      <c r="W17" s="995">
        <v>3.5258921052631575</v>
      </c>
      <c r="X17" s="1007">
        <v>5.9208197368421054</v>
      </c>
      <c r="Y17" s="995">
        <v>3.6273197368421051</v>
      </c>
      <c r="Z17" s="1007">
        <v>7.2018339035087724</v>
      </c>
      <c r="AA17" s="995">
        <v>4.9083339035087725</v>
      </c>
      <c r="AB17" s="1007">
        <v>8.5468987785087709</v>
      </c>
      <c r="AC17" s="995">
        <v>6.253398778508771</v>
      </c>
      <c r="AD17" s="342"/>
      <c r="AE17" s="342"/>
      <c r="AF17" s="342"/>
      <c r="AG17" s="342"/>
      <c r="AH17" s="951">
        <v>11</v>
      </c>
      <c r="AI17" s="950" t="s">
        <v>82</v>
      </c>
      <c r="AJ17" s="794">
        <v>0.126</v>
      </c>
      <c r="AK17" s="1055">
        <v>2.2935000000000003</v>
      </c>
      <c r="AL17" s="1055">
        <v>5.8103809210526318</v>
      </c>
      <c r="AM17" s="1055">
        <v>5.8193921052631579</v>
      </c>
    </row>
    <row r="18" spans="2:39" ht="30" customHeight="1">
      <c r="B18" s="808">
        <v>12</v>
      </c>
      <c r="C18" s="344" t="s">
        <v>94</v>
      </c>
      <c r="D18" s="342">
        <v>5.3999999999999999E-2</v>
      </c>
      <c r="E18" s="996">
        <v>0.66300000000000003</v>
      </c>
      <c r="F18" s="342"/>
      <c r="G18" s="996">
        <v>1.2469999999999999</v>
      </c>
      <c r="H18" s="994">
        <v>1.6485555555555556</v>
      </c>
      <c r="I18" s="994">
        <v>2.9446111111111115</v>
      </c>
      <c r="J18" s="996">
        <v>3.014333333333334</v>
      </c>
      <c r="K18" s="996">
        <v>3.0304444444444449</v>
      </c>
      <c r="L18" s="996">
        <v>3.269055555555556</v>
      </c>
      <c r="M18" s="996">
        <v>3.2696111111111117</v>
      </c>
      <c r="N18" s="996">
        <v>3.2777222222222226</v>
      </c>
      <c r="O18" s="996">
        <v>3.4840277777777784</v>
      </c>
      <c r="P18" s="996">
        <v>3.7006486111111117</v>
      </c>
      <c r="Q18" s="996"/>
      <c r="R18" s="996"/>
      <c r="S18" s="349"/>
      <c r="T18" s="1074">
        <v>3.269055555555556</v>
      </c>
      <c r="U18" s="995"/>
      <c r="V18" s="1007">
        <v>3.2696111111111117</v>
      </c>
      <c r="W18" s="995">
        <v>2.6066111111111114</v>
      </c>
      <c r="X18" s="1007">
        <v>3.2777222222222226</v>
      </c>
      <c r="Y18" s="995">
        <v>2.6147222222222224</v>
      </c>
      <c r="Z18" s="1007">
        <v>3.4840277777777784</v>
      </c>
      <c r="AA18" s="995">
        <v>2.8210277777777781</v>
      </c>
      <c r="AB18" s="1007">
        <v>3.7006486111111117</v>
      </c>
      <c r="AC18" s="995">
        <v>3.0376486111111118</v>
      </c>
      <c r="AD18" s="342"/>
      <c r="AE18" s="342"/>
      <c r="AF18" s="342"/>
      <c r="AG18" s="342"/>
      <c r="AH18" s="951">
        <v>12</v>
      </c>
      <c r="AI18" s="950" t="s">
        <v>94</v>
      </c>
      <c r="AJ18" s="794">
        <v>5.3999999999999999E-2</v>
      </c>
      <c r="AK18" s="1055">
        <v>0.66300000000000003</v>
      </c>
      <c r="AL18" s="1055">
        <v>3.269055555555556</v>
      </c>
      <c r="AM18" s="1055">
        <v>3.2696111111111117</v>
      </c>
    </row>
    <row r="19" spans="2:39" ht="30" customHeight="1">
      <c r="B19" s="808">
        <v>13</v>
      </c>
      <c r="C19" s="344" t="s">
        <v>83</v>
      </c>
      <c r="D19" s="342">
        <v>0.13500000000000001</v>
      </c>
      <c r="E19" s="996">
        <v>1.3950000000000002</v>
      </c>
      <c r="F19" s="342"/>
      <c r="G19" s="996">
        <v>1.3950000000000002</v>
      </c>
      <c r="H19" s="994">
        <v>1.3950000000000002</v>
      </c>
      <c r="I19" s="994">
        <v>1.5415000000000003</v>
      </c>
      <c r="J19" s="996">
        <v>1.9115000000000002</v>
      </c>
      <c r="K19" s="996">
        <v>2.1114999999999999</v>
      </c>
      <c r="L19" s="996">
        <v>3.3664999999999998</v>
      </c>
      <c r="M19" s="996">
        <v>3.3794999999999997</v>
      </c>
      <c r="N19" s="996">
        <v>3.7154999999999996</v>
      </c>
      <c r="O19" s="996">
        <v>4.778999999999999</v>
      </c>
      <c r="P19" s="996">
        <v>5.8956750000000007</v>
      </c>
      <c r="Q19" s="996"/>
      <c r="R19" s="996"/>
      <c r="S19" s="349"/>
      <c r="T19" s="1074">
        <v>3.3664999999999998</v>
      </c>
      <c r="U19" s="995"/>
      <c r="V19" s="1007">
        <v>3.3794999999999997</v>
      </c>
      <c r="W19" s="995">
        <v>1.9844999999999995</v>
      </c>
      <c r="X19" s="1007">
        <v>3.7154999999999996</v>
      </c>
      <c r="Y19" s="995">
        <v>2.3204999999999991</v>
      </c>
      <c r="Z19" s="1007">
        <v>4.778999999999999</v>
      </c>
      <c r="AA19" s="995">
        <v>3.3839999999999986</v>
      </c>
      <c r="AB19" s="1007">
        <v>5.8956750000000007</v>
      </c>
      <c r="AC19" s="995">
        <v>4.5006750000000002</v>
      </c>
      <c r="AD19" s="342"/>
      <c r="AE19" s="342"/>
      <c r="AF19" s="342"/>
      <c r="AG19" s="342"/>
      <c r="AH19" s="951">
        <v>13</v>
      </c>
      <c r="AI19" s="950" t="s">
        <v>83</v>
      </c>
      <c r="AJ19" s="794">
        <v>0.13500000000000001</v>
      </c>
      <c r="AK19" s="1055">
        <v>1.3950000000000002</v>
      </c>
      <c r="AL19" s="1055">
        <v>3.3664999999999998</v>
      </c>
      <c r="AM19" s="1055">
        <v>3.3794999999999997</v>
      </c>
    </row>
    <row r="20" spans="2:39" ht="29.25" customHeight="1">
      <c r="B20" s="831" t="s">
        <v>4</v>
      </c>
      <c r="C20" s="831" t="s">
        <v>795</v>
      </c>
      <c r="D20" s="832">
        <v>1</v>
      </c>
      <c r="E20" s="1000">
        <v>10.120096</v>
      </c>
      <c r="F20" s="831"/>
      <c r="G20" s="1000">
        <v>14.190723961315554</v>
      </c>
      <c r="H20" s="1000">
        <v>15.344932105888889</v>
      </c>
      <c r="I20" s="1000">
        <v>19.785114934555558</v>
      </c>
      <c r="J20" s="1000">
        <v>24.793079656777781</v>
      </c>
      <c r="K20" s="1000">
        <v>28.109370767888887</v>
      </c>
      <c r="L20" s="1155">
        <v>34.194423367512947</v>
      </c>
      <c r="M20" s="1002">
        <v>34.763338107279026</v>
      </c>
      <c r="N20" s="1002">
        <v>36.336286849969085</v>
      </c>
      <c r="O20" s="1002">
        <v>40.138376099969079</v>
      </c>
      <c r="P20" s="1002">
        <v>44.564463345802423</v>
      </c>
      <c r="Q20" s="1002"/>
      <c r="R20" s="1002"/>
      <c r="S20" s="833"/>
      <c r="T20" s="1002">
        <v>34.194423367512947</v>
      </c>
      <c r="U20" s="1008">
        <v>24.074327367512947</v>
      </c>
      <c r="V20" s="1007">
        <v>34.763338107279026</v>
      </c>
      <c r="W20" s="1008">
        <v>24.643242107279026</v>
      </c>
      <c r="X20" s="1007">
        <v>36.336286849969085</v>
      </c>
      <c r="Y20" s="1008">
        <v>26.216190849969085</v>
      </c>
      <c r="Z20" s="1007">
        <v>40.138376099969079</v>
      </c>
      <c r="AA20" s="1008">
        <v>30.018280099969079</v>
      </c>
      <c r="AB20" s="1007">
        <v>44.564463345802423</v>
      </c>
      <c r="AC20" s="1008">
        <v>34.444367345802419</v>
      </c>
      <c r="AD20" s="834"/>
      <c r="AE20" s="834"/>
      <c r="AF20" s="834"/>
      <c r="AG20" s="834"/>
      <c r="AH20" s="951" t="s">
        <v>4</v>
      </c>
      <c r="AI20" s="950" t="s">
        <v>795</v>
      </c>
      <c r="AJ20" s="794">
        <v>1</v>
      </c>
      <c r="AK20" s="1056">
        <v>0.10120096000000001</v>
      </c>
      <c r="AL20" s="1057">
        <v>0.34194423367512949</v>
      </c>
      <c r="AM20" s="1057">
        <v>0.34763338107279024</v>
      </c>
    </row>
    <row r="21" spans="2:39" hidden="1">
      <c r="B21" s="336" t="s">
        <v>4</v>
      </c>
      <c r="C21" s="955"/>
      <c r="D21" s="336"/>
      <c r="E21" s="1049">
        <v>8.9549649999999996</v>
      </c>
      <c r="F21" s="1049"/>
      <c r="G21" s="1049">
        <v>11.393082961315557</v>
      </c>
      <c r="H21" s="1049">
        <v>12.509261939222222</v>
      </c>
      <c r="I21" s="1049">
        <v>16.721753101222227</v>
      </c>
      <c r="J21" s="1098">
        <v>21.690117823444449</v>
      </c>
      <c r="K21" s="1098">
        <v>24.966808934555562</v>
      </c>
      <c r="L21" s="1098">
        <v>30.916761534179614</v>
      </c>
      <c r="M21" s="1098">
        <v>31.485676273945696</v>
      </c>
      <c r="N21" s="1099">
        <v>33.253145849969087</v>
      </c>
      <c r="O21" s="1099">
        <v>37.02745732219131</v>
      </c>
      <c r="P21" s="336"/>
      <c r="Q21" s="336"/>
      <c r="R21" s="336"/>
      <c r="S21" s="336"/>
      <c r="T21" s="336"/>
      <c r="U21" s="336"/>
      <c r="V21" s="336"/>
      <c r="W21" s="336"/>
      <c r="X21" s="336"/>
      <c r="Y21" s="336"/>
      <c r="Z21" s="336"/>
      <c r="AA21" s="336"/>
      <c r="AB21" s="336"/>
      <c r="AC21" s="336"/>
      <c r="AD21" s="336"/>
      <c r="AE21" s="336"/>
      <c r="AF21" s="336"/>
      <c r="AG21" s="336"/>
      <c r="AH21" s="336"/>
      <c r="AI21" s="336"/>
      <c r="AJ21" s="336"/>
      <c r="AK21" s="1058"/>
      <c r="AL21" s="1058"/>
      <c r="AM21" s="1058"/>
    </row>
    <row r="22" spans="2:39" ht="15" hidden="1" thickBot="1">
      <c r="B22" s="336"/>
      <c r="C22" s="955"/>
      <c r="D22" s="336"/>
      <c r="E22" s="1049"/>
      <c r="F22" s="1049"/>
      <c r="G22" s="1049"/>
      <c r="H22" s="1049"/>
      <c r="I22" s="1049"/>
      <c r="J22" s="1049"/>
      <c r="K22" s="1049"/>
      <c r="L22" s="1049">
        <v>3.2776618333333332</v>
      </c>
      <c r="M22" s="1049"/>
      <c r="N22" s="1100"/>
      <c r="O22" s="1100"/>
      <c r="P22" s="336"/>
      <c r="Q22" s="336"/>
      <c r="R22" s="336"/>
      <c r="S22" s="336"/>
      <c r="T22" s="336"/>
      <c r="U22" s="336"/>
      <c r="V22" s="336"/>
      <c r="W22" s="336"/>
      <c r="X22" s="336"/>
      <c r="Y22" s="336"/>
      <c r="Z22" s="336"/>
      <c r="AA22" s="336"/>
      <c r="AB22" s="336"/>
      <c r="AC22" s="336"/>
      <c r="AD22" s="336"/>
      <c r="AE22" s="336"/>
      <c r="AF22" s="336"/>
      <c r="AG22" s="336"/>
      <c r="AH22" s="336"/>
      <c r="AI22" s="336"/>
      <c r="AJ22" s="336"/>
      <c r="AK22" s="1058"/>
      <c r="AL22" s="1058"/>
      <c r="AM22" s="1058"/>
    </row>
    <row r="23" spans="2:39" ht="15" hidden="1" customHeight="1">
      <c r="B23" s="336" t="s">
        <v>4</v>
      </c>
      <c r="C23" s="955" t="s">
        <v>782</v>
      </c>
      <c r="D23" s="954">
        <v>1</v>
      </c>
      <c r="E23" s="1004">
        <v>13.38</v>
      </c>
      <c r="F23" s="1004"/>
      <c r="G23" s="1004">
        <v>16.170000000000002</v>
      </c>
      <c r="H23" s="1004">
        <v>17.57</v>
      </c>
      <c r="I23" s="1004">
        <v>21.45</v>
      </c>
      <c r="J23" s="1004">
        <v>25.42</v>
      </c>
      <c r="K23" s="1004">
        <v>27.28</v>
      </c>
      <c r="L23" s="1004">
        <v>30.92</v>
      </c>
      <c r="M23" s="1004">
        <v>31.31</v>
      </c>
      <c r="N23" s="336"/>
      <c r="O23" s="336"/>
      <c r="P23" s="336"/>
      <c r="Q23" s="336"/>
      <c r="R23" s="336"/>
      <c r="S23" s="336"/>
      <c r="T23" s="336"/>
      <c r="U23" s="336"/>
      <c r="V23" s="336"/>
      <c r="W23" s="336"/>
      <c r="X23" s="336"/>
      <c r="Y23" s="336"/>
      <c r="Z23" s="336"/>
      <c r="AA23" s="336"/>
      <c r="AB23" s="336"/>
      <c r="AC23" s="336"/>
      <c r="AD23" s="336"/>
      <c r="AE23" s="336"/>
      <c r="AF23" s="336"/>
      <c r="AG23" s="336"/>
      <c r="AH23" s="336"/>
      <c r="AI23" s="795" t="s">
        <v>754</v>
      </c>
      <c r="AJ23" s="1613" t="s">
        <v>747</v>
      </c>
      <c r="AK23" s="1059">
        <v>2020</v>
      </c>
      <c r="AL23" s="1618">
        <v>2021</v>
      </c>
      <c r="AM23" s="1618"/>
    </row>
    <row r="24" spans="2:39" ht="14.25" hidden="1" customHeight="1">
      <c r="B24" s="336"/>
      <c r="C24" s="955" t="s">
        <v>783</v>
      </c>
      <c r="D24" s="1003">
        <v>0</v>
      </c>
      <c r="E24" s="1003">
        <v>3.2599040000000006</v>
      </c>
      <c r="F24" s="972">
        <v>0</v>
      </c>
      <c r="G24" s="1003">
        <v>1.9792760386844481</v>
      </c>
      <c r="H24" s="1003">
        <v>2.2250678941111115</v>
      </c>
      <c r="I24" s="1003">
        <v>1.6648850654444409</v>
      </c>
      <c r="J24" s="1005">
        <v>0.62692034322222057</v>
      </c>
      <c r="K24" s="1005">
        <v>-0.82937076788888575</v>
      </c>
      <c r="L24" s="1005">
        <v>-3.274423367512945</v>
      </c>
      <c r="M24" s="1005">
        <v>-3.453338107279027</v>
      </c>
      <c r="N24" s="336"/>
      <c r="O24" s="336"/>
      <c r="P24" s="336"/>
      <c r="Q24" s="336"/>
      <c r="R24" s="336"/>
      <c r="S24" s="336"/>
      <c r="T24" s="336"/>
      <c r="U24" s="336"/>
      <c r="V24" s="336"/>
      <c r="W24" s="336"/>
      <c r="X24" s="336"/>
      <c r="Y24" s="336"/>
      <c r="Z24" s="336"/>
      <c r="AA24" s="336"/>
      <c r="AB24" s="336"/>
      <c r="AC24" s="336"/>
      <c r="AD24" s="336"/>
      <c r="AE24" s="336"/>
      <c r="AF24" s="336"/>
      <c r="AG24" s="336"/>
      <c r="AH24" s="336"/>
      <c r="AI24" s="1615" t="s">
        <v>602</v>
      </c>
      <c r="AJ24" s="1614"/>
      <c r="AK24" s="1060" t="s">
        <v>752</v>
      </c>
      <c r="AL24" s="1060" t="s">
        <v>751</v>
      </c>
      <c r="AM24" s="1060" t="s">
        <v>753</v>
      </c>
    </row>
    <row r="25" spans="2:39" ht="6.75" hidden="1" customHeight="1">
      <c r="B25" s="336"/>
      <c r="C25" s="336"/>
      <c r="D25" s="336"/>
      <c r="E25" s="336"/>
      <c r="F25" s="336"/>
      <c r="G25" s="336"/>
      <c r="H25" s="336"/>
      <c r="I25" s="336"/>
      <c r="J25" s="336"/>
      <c r="K25" s="336"/>
      <c r="L25" s="336"/>
      <c r="M25" s="805"/>
      <c r="N25" s="336"/>
      <c r="O25" s="336"/>
      <c r="P25" s="336"/>
      <c r="Q25" s="336"/>
      <c r="R25" s="336"/>
      <c r="S25" s="336"/>
      <c r="T25" s="336"/>
      <c r="U25" s="336"/>
      <c r="V25" s="336"/>
      <c r="W25" s="336"/>
      <c r="X25" s="336"/>
      <c r="Y25" s="336"/>
      <c r="Z25" s="336"/>
      <c r="AA25" s="336"/>
      <c r="AB25" s="336"/>
      <c r="AC25" s="336"/>
      <c r="AD25" s="336"/>
      <c r="AE25" s="336"/>
      <c r="AF25" s="336"/>
      <c r="AG25" s="336"/>
      <c r="AH25" s="336"/>
      <c r="AI25" s="1617"/>
      <c r="AJ25" s="1615"/>
      <c r="AK25" s="1060" t="s">
        <v>376</v>
      </c>
      <c r="AL25" s="1060" t="s">
        <v>376</v>
      </c>
      <c r="AM25" s="1060" t="s">
        <v>376</v>
      </c>
    </row>
    <row r="26" spans="2:39" hidden="1">
      <c r="B26" s="336"/>
      <c r="C26" s="955" t="s">
        <v>813</v>
      </c>
      <c r="D26" s="336" t="s">
        <v>4</v>
      </c>
      <c r="E26" s="1049">
        <v>8.9549649999999996</v>
      </c>
      <c r="F26" s="1049"/>
      <c r="G26" s="1049">
        <v>11.393082961315557</v>
      </c>
      <c r="H26" s="1049">
        <v>12.509261939222222</v>
      </c>
      <c r="I26" s="1049">
        <v>16.721753101222227</v>
      </c>
      <c r="J26" s="1098">
        <v>21.690117823444449</v>
      </c>
      <c r="K26" s="1098">
        <v>24.966808934555562</v>
      </c>
      <c r="L26" s="1098">
        <v>30.916761534179614</v>
      </c>
      <c r="M26" s="1098">
        <v>31.485676273945696</v>
      </c>
      <c r="N26" s="1099">
        <v>33.291045849969088</v>
      </c>
      <c r="O26" s="1099">
        <v>37.065357322191311</v>
      </c>
      <c r="P26" s="336"/>
      <c r="Q26" s="336"/>
      <c r="R26" s="336"/>
      <c r="S26" s="336"/>
      <c r="T26" s="336"/>
      <c r="U26" s="336"/>
      <c r="V26" s="336"/>
      <c r="W26" s="336"/>
      <c r="X26" s="336"/>
      <c r="Y26" s="336"/>
      <c r="Z26" s="336"/>
      <c r="AA26" s="336"/>
      <c r="AB26" s="336"/>
      <c r="AC26" s="336"/>
      <c r="AD26" s="336"/>
      <c r="AE26" s="336"/>
      <c r="AF26" s="336"/>
      <c r="AG26" s="336"/>
      <c r="AH26" s="336"/>
      <c r="AI26" s="772" t="s">
        <v>229</v>
      </c>
      <c r="AJ26" s="796">
        <v>59</v>
      </c>
      <c r="AK26" s="797">
        <v>5.2768400000000009</v>
      </c>
      <c r="AL26" s="797">
        <v>18.299651064385966</v>
      </c>
      <c r="AM26" s="797">
        <v>18.324095581929825</v>
      </c>
    </row>
    <row r="27" spans="2:39" hidden="1">
      <c r="B27" s="336"/>
      <c r="C27" s="955" t="s">
        <v>783</v>
      </c>
      <c r="D27" s="336"/>
      <c r="E27" s="1099">
        <v>-1.1651310000000006</v>
      </c>
      <c r="F27" s="336"/>
      <c r="G27" s="1101">
        <v>-2.7976409999999969</v>
      </c>
      <c r="H27" s="1101">
        <v>-2.8356701666666666</v>
      </c>
      <c r="I27" s="1101">
        <v>-3.0633618333333317</v>
      </c>
      <c r="J27" s="1101">
        <v>-3.1029618333333318</v>
      </c>
      <c r="K27" s="1101">
        <v>-3.1425618333333247</v>
      </c>
      <c r="L27" s="1101">
        <v>-3.2776618333333332</v>
      </c>
      <c r="M27" s="1101">
        <v>-3.2776618333333296</v>
      </c>
      <c r="N27" s="1101">
        <v>-3.0452409999999972</v>
      </c>
      <c r="O27" s="1101">
        <v>-3.0730187777777687</v>
      </c>
      <c r="P27" s="336"/>
      <c r="Q27" s="336"/>
      <c r="R27" s="336"/>
      <c r="S27" s="336"/>
      <c r="T27" s="336"/>
      <c r="U27" s="336"/>
      <c r="V27" s="336"/>
      <c r="W27" s="336"/>
      <c r="X27" s="336"/>
      <c r="Y27" s="336"/>
      <c r="Z27" s="336"/>
      <c r="AA27" s="336"/>
      <c r="AB27" s="336"/>
      <c r="AC27" s="336"/>
      <c r="AD27" s="336"/>
      <c r="AE27" s="336"/>
      <c r="AF27" s="336"/>
      <c r="AG27" s="336"/>
      <c r="AH27" s="336"/>
      <c r="AI27" s="772" t="s">
        <v>230</v>
      </c>
      <c r="AJ27" s="796">
        <v>21</v>
      </c>
      <c r="AK27" s="797">
        <v>0.67809000000000008</v>
      </c>
      <c r="AL27" s="797">
        <v>8.5774984841269841</v>
      </c>
      <c r="AM27" s="797">
        <v>8.5780540396825415</v>
      </c>
    </row>
    <row r="28" spans="2:39" hidden="1">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772" t="s">
        <v>231</v>
      </c>
      <c r="AJ28" s="796">
        <v>15</v>
      </c>
      <c r="AK28" s="797">
        <v>2.1074999999999999</v>
      </c>
      <c r="AL28" s="797">
        <v>5.5950300000000004</v>
      </c>
      <c r="AM28" s="797">
        <v>6.1391880000000008</v>
      </c>
    </row>
    <row r="29" spans="2:39">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772" t="s">
        <v>232</v>
      </c>
      <c r="AJ29" s="796">
        <v>5</v>
      </c>
      <c r="AK29" s="797">
        <v>0.20649999999999999</v>
      </c>
      <c r="AL29" s="797">
        <v>0.2445208333333333</v>
      </c>
      <c r="AM29" s="797">
        <v>0.2445208333333333</v>
      </c>
    </row>
    <row r="30" spans="2:39" ht="15.75" thickBot="1">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798" t="s">
        <v>152</v>
      </c>
      <c r="AJ30" s="799">
        <v>100</v>
      </c>
      <c r="AK30" s="799">
        <v>8.2689300000000007E-2</v>
      </c>
      <c r="AL30" s="799">
        <v>0.32716700381846281</v>
      </c>
      <c r="AM30" s="799">
        <v>0.33285858454945705</v>
      </c>
    </row>
    <row r="31" spans="2:39" ht="15">
      <c r="B31" s="336"/>
      <c r="C31" s="336"/>
      <c r="D31" s="336"/>
      <c r="E31" s="1048"/>
      <c r="F31" s="1048"/>
      <c r="G31" s="1048"/>
      <c r="H31" s="1048"/>
      <c r="I31" s="1048"/>
      <c r="J31" s="1048"/>
      <c r="K31" s="1048"/>
      <c r="L31" s="1048"/>
      <c r="M31" s="1048"/>
      <c r="N31" s="1049"/>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1058"/>
      <c r="AL31" s="1058"/>
      <c r="AM31" s="1058"/>
    </row>
    <row r="32" spans="2:39" ht="15.75" hidden="1" customHeight="1" thickBot="1">
      <c r="B32" s="336"/>
      <c r="N32" s="998"/>
      <c r="O32" s="954"/>
      <c r="P32" s="954"/>
      <c r="Q32" s="954"/>
      <c r="R32" s="954"/>
      <c r="S32" s="954"/>
      <c r="T32" s="954"/>
      <c r="U32" s="954"/>
      <c r="V32" s="954">
        <v>0.31310388571081466</v>
      </c>
      <c r="W32" s="954">
        <v>0.17930388571081468</v>
      </c>
      <c r="X32" s="954">
        <v>0.31310388571081466</v>
      </c>
      <c r="Y32" s="954">
        <v>0.17930388571081468</v>
      </c>
      <c r="Z32" s="954"/>
      <c r="AA32" s="954"/>
      <c r="AB32" s="954"/>
      <c r="AC32" s="954"/>
      <c r="AD32" s="954"/>
      <c r="AE32" s="954"/>
      <c r="AF32" s="954"/>
      <c r="AG32" s="954"/>
      <c r="AH32" s="336"/>
      <c r="AI32" s="795" t="s">
        <v>755</v>
      </c>
      <c r="AJ32" s="1613" t="s">
        <v>747</v>
      </c>
      <c r="AK32" s="1061">
        <v>2020</v>
      </c>
      <c r="AL32" s="1616">
        <v>2021</v>
      </c>
      <c r="AM32" s="1616"/>
    </row>
    <row r="33" spans="2:39" hidden="1">
      <c r="B33" s="336"/>
      <c r="N33" s="1003"/>
      <c r="O33" s="972"/>
      <c r="P33" s="972"/>
      <c r="Q33" s="972"/>
      <c r="R33" s="972"/>
      <c r="S33" s="956"/>
      <c r="T33" s="956"/>
      <c r="U33" s="956"/>
      <c r="V33" s="956">
        <v>34.450234221568209</v>
      </c>
      <c r="W33" s="956">
        <v>24.46393822156821</v>
      </c>
      <c r="X33" s="956">
        <v>36.023182964258268</v>
      </c>
      <c r="Y33" s="956">
        <v>26.036886964258269</v>
      </c>
      <c r="Z33" s="956">
        <v>40.138376099969079</v>
      </c>
      <c r="AA33" s="956">
        <v>30.018280099969079</v>
      </c>
      <c r="AB33" s="956">
        <v>44.564463345802423</v>
      </c>
      <c r="AC33" s="956">
        <v>34.444367345802419</v>
      </c>
      <c r="AD33" s="956">
        <v>0</v>
      </c>
      <c r="AE33" s="956">
        <v>0</v>
      </c>
      <c r="AF33" s="956">
        <v>0</v>
      </c>
      <c r="AG33" s="956">
        <v>0</v>
      </c>
      <c r="AH33" s="336"/>
      <c r="AI33" s="1617" t="s">
        <v>602</v>
      </c>
      <c r="AJ33" s="1614"/>
      <c r="AK33" s="1062" t="s">
        <v>752</v>
      </c>
      <c r="AL33" s="1063" t="s">
        <v>751</v>
      </c>
      <c r="AM33" s="1063" t="s">
        <v>753</v>
      </c>
    </row>
    <row r="34" spans="2:39" ht="28.5" hidden="1">
      <c r="B34" s="336"/>
      <c r="C34" s="336"/>
      <c r="D34" s="336"/>
      <c r="E34" s="336"/>
      <c r="F34" s="336"/>
      <c r="G34" s="336"/>
      <c r="H34" s="336"/>
      <c r="I34" s="336"/>
      <c r="J34" s="954"/>
      <c r="K34" s="336"/>
      <c r="L34" s="980"/>
      <c r="M34" s="954"/>
      <c r="N34" s="954"/>
      <c r="O34" s="336"/>
      <c r="P34" s="336"/>
      <c r="Q34" s="336"/>
      <c r="R34" s="336"/>
      <c r="S34" s="336"/>
      <c r="T34" s="336"/>
      <c r="U34" s="336"/>
      <c r="V34" s="336"/>
      <c r="W34" s="336"/>
      <c r="X34" s="336"/>
      <c r="Y34" s="336"/>
      <c r="Z34" s="336"/>
      <c r="AA34" s="336"/>
      <c r="AB34" s="336"/>
      <c r="AC34" s="336"/>
      <c r="AD34" s="336"/>
      <c r="AE34" s="336"/>
      <c r="AF34" s="336"/>
      <c r="AG34" s="336"/>
      <c r="AH34" s="336"/>
      <c r="AI34" s="1617"/>
      <c r="AJ34" s="1615"/>
      <c r="AK34" s="1060" t="s">
        <v>376</v>
      </c>
      <c r="AL34" s="1060" t="s">
        <v>376</v>
      </c>
      <c r="AM34" s="1060" t="s">
        <v>376</v>
      </c>
    </row>
    <row r="35" spans="2:39" ht="15.75">
      <c r="B35" s="336"/>
      <c r="C35" s="336"/>
      <c r="D35" s="336"/>
      <c r="E35" s="336"/>
      <c r="F35" s="336"/>
      <c r="G35" s="336"/>
      <c r="H35" s="336"/>
      <c r="I35" s="336"/>
      <c r="J35" s="336"/>
      <c r="K35" s="336"/>
      <c r="L35" s="1050"/>
      <c r="M35" s="997"/>
      <c r="N35" s="954"/>
      <c r="O35" s="336"/>
      <c r="P35" s="336"/>
      <c r="Q35" s="336"/>
      <c r="R35" s="336"/>
      <c r="S35" s="336"/>
      <c r="T35" s="336"/>
      <c r="U35" s="336"/>
      <c r="V35" s="336"/>
      <c r="W35" s="336"/>
      <c r="X35" s="336"/>
      <c r="Y35" s="336"/>
      <c r="Z35" s="336"/>
      <c r="AA35" s="336"/>
      <c r="AB35" s="336"/>
      <c r="AC35" s="336"/>
      <c r="AD35" s="336"/>
      <c r="AE35" s="336"/>
      <c r="AF35" s="336"/>
      <c r="AG35" s="336"/>
      <c r="AH35" s="336"/>
      <c r="AI35" s="800" t="s">
        <v>748</v>
      </c>
      <c r="AJ35" s="797">
        <v>65</v>
      </c>
      <c r="AK35" s="797">
        <v>7.4775999999999998</v>
      </c>
      <c r="AL35" s="797">
        <v>16.523165967193652</v>
      </c>
      <c r="AM35" s="797">
        <v>17.069757300526984</v>
      </c>
    </row>
    <row r="36" spans="2:39" ht="15.75">
      <c r="B36" s="336"/>
      <c r="C36" s="336"/>
      <c r="D36" s="336"/>
      <c r="E36" s="954"/>
      <c r="F36" s="336"/>
      <c r="G36" s="954"/>
      <c r="H36" s="954"/>
      <c r="I36" s="954"/>
      <c r="J36" s="954"/>
      <c r="K36" s="954"/>
      <c r="L36" s="1051"/>
      <c r="M36" s="997"/>
      <c r="N36" s="954"/>
      <c r="O36" s="336"/>
      <c r="P36" s="336"/>
      <c r="Q36" s="336"/>
      <c r="R36" s="336"/>
      <c r="S36" s="336"/>
      <c r="T36" s="336"/>
      <c r="U36" s="336"/>
      <c r="V36" s="336"/>
      <c r="W36" s="336"/>
      <c r="X36" s="336"/>
      <c r="Y36" s="336"/>
      <c r="Z36" s="336"/>
      <c r="AA36" s="336"/>
      <c r="AB36" s="336"/>
      <c r="AC36" s="336"/>
      <c r="AD36" s="336"/>
      <c r="AE36" s="336"/>
      <c r="AF36" s="336"/>
      <c r="AG36" s="336"/>
      <c r="AH36" s="336"/>
      <c r="AI36" s="800" t="s">
        <v>749</v>
      </c>
      <c r="AJ36" s="797">
        <v>20</v>
      </c>
      <c r="AK36" s="797">
        <v>2.9565000000000001</v>
      </c>
      <c r="AL36" s="797">
        <v>6.9481114766081875</v>
      </c>
      <c r="AM36" s="797">
        <v>6.9576782163742692</v>
      </c>
    </row>
    <row r="37" spans="2:39">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800" t="s">
        <v>750</v>
      </c>
      <c r="AJ37" s="797">
        <v>15</v>
      </c>
      <c r="AK37" s="797">
        <v>1.3950000000000002</v>
      </c>
      <c r="AL37" s="797">
        <v>1.9715</v>
      </c>
      <c r="AM37" s="797">
        <v>1.9844999999999999</v>
      </c>
    </row>
    <row r="38" spans="2:39" ht="15.75" thickBot="1">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801" t="s">
        <v>152</v>
      </c>
      <c r="AJ38" s="802">
        <v>100</v>
      </c>
      <c r="AK38" s="802">
        <v>0.11829100000000001</v>
      </c>
      <c r="AL38" s="806">
        <v>0.25442777443801839</v>
      </c>
      <c r="AM38" s="802">
        <v>0.26011935516901252</v>
      </c>
    </row>
    <row r="40" spans="2:39">
      <c r="E40" s="988"/>
      <c r="F40" s="988"/>
      <c r="G40" s="988"/>
      <c r="H40" s="988"/>
      <c r="I40" s="988"/>
      <c r="J40" s="988"/>
      <c r="K40" s="988"/>
      <c r="L40" s="988"/>
      <c r="M40" s="988"/>
    </row>
    <row r="41" spans="2:39">
      <c r="E41" s="989"/>
      <c r="G41" s="989"/>
      <c r="H41" s="989"/>
      <c r="I41" s="989"/>
      <c r="J41" s="989"/>
      <c r="K41" s="989"/>
      <c r="L41" s="989"/>
      <c r="M41" s="989"/>
    </row>
  </sheetData>
  <sheetProtection password="E86C" sheet="1" objects="1" scenarios="1"/>
  <mergeCells count="28">
    <mergeCell ref="AS5:AS6"/>
    <mergeCell ref="AJ32:AJ34"/>
    <mergeCell ref="AL32:AM32"/>
    <mergeCell ref="AI33:AI34"/>
    <mergeCell ref="AL23:AM23"/>
    <mergeCell ref="AJ5:AJ6"/>
    <mergeCell ref="AJ23:AJ25"/>
    <mergeCell ref="AI24:AI25"/>
    <mergeCell ref="AO16:AP16"/>
    <mergeCell ref="AO5:AO6"/>
    <mergeCell ref="AP5:AP6"/>
    <mergeCell ref="AQ5:AQ6"/>
    <mergeCell ref="AO9:AO11"/>
    <mergeCell ref="AO12:AO13"/>
    <mergeCell ref="AL4:AM4"/>
    <mergeCell ref="B1:L1"/>
    <mergeCell ref="B2:L2"/>
    <mergeCell ref="B3:L3"/>
    <mergeCell ref="B5:C6"/>
    <mergeCell ref="D5:D6"/>
    <mergeCell ref="E5:R5"/>
    <mergeCell ref="V5:W5"/>
    <mergeCell ref="X5:Y5"/>
    <mergeCell ref="Z5:AA5"/>
    <mergeCell ref="AB5:AC5"/>
    <mergeCell ref="AD5:AE5"/>
    <mergeCell ref="AF5:AG5"/>
    <mergeCell ref="T5:U5"/>
  </mergeCells>
  <printOptions headings="1"/>
  <pageMargins left="1" right="0.5" top="1" bottom="1" header="0.5" footer="0.5"/>
  <pageSetup paperSize="9" scale="51" orientation="landscape" r:id="rId1"/>
  <headerFooter>
    <oddHeader>&amp;LCFAVC Quarterly Repott January-March 2021 &amp;RAnnex 1</oddHeader>
    <oddFooter>&amp;LAESA &amp; SBK</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R67"/>
  <sheetViews>
    <sheetView view="pageBreakPreview" topLeftCell="B1" zoomScale="70" zoomScaleNormal="70" zoomScaleSheetLayoutView="70" workbookViewId="0">
      <pane xSplit="4" ySplit="6" topLeftCell="F7" activePane="bottomRight" state="frozen"/>
      <selection activeCell="B1" sqref="B1"/>
      <selection pane="topRight" activeCell="F1" sqref="F1"/>
      <selection pane="bottomLeft" activeCell="B7" sqref="B7"/>
      <selection pane="bottomRight" activeCell="B13" sqref="B13:D13"/>
    </sheetView>
  </sheetViews>
  <sheetFormatPr defaultColWidth="9.140625" defaultRowHeight="15"/>
  <cols>
    <col min="1" max="1" width="0" style="218" hidden="1" customWidth="1"/>
    <col min="2" max="2" width="7.28515625" style="218" customWidth="1"/>
    <col min="3" max="3" width="76.85546875" style="218" customWidth="1"/>
    <col min="4" max="4" width="15.7109375" style="218" customWidth="1"/>
    <col min="5" max="5" width="0.85546875" style="218" hidden="1" customWidth="1"/>
    <col min="6" max="6" width="14.85546875" style="218" customWidth="1"/>
    <col min="7" max="7" width="11.5703125" style="218" customWidth="1"/>
    <col min="8" max="8" width="0.85546875" style="218" hidden="1" customWidth="1"/>
    <col min="9" max="9" width="11" style="218" customWidth="1"/>
    <col min="10" max="10" width="13.7109375" style="218" customWidth="1"/>
    <col min="11" max="11" width="0.85546875" style="218" hidden="1" customWidth="1"/>
    <col min="12" max="12" width="12.28515625" style="218" customWidth="1"/>
    <col min="13" max="13" width="14.42578125" style="218" customWidth="1"/>
    <col min="14" max="14" width="0.85546875" style="218" hidden="1" customWidth="1"/>
    <col min="15" max="16" width="16.140625" style="218" customWidth="1"/>
    <col min="17" max="17" width="0.85546875" style="218" hidden="1" customWidth="1"/>
    <col min="18" max="19" width="16.140625" style="218" customWidth="1"/>
    <col min="20" max="20" width="0.85546875" style="218" hidden="1" customWidth="1"/>
    <col min="21" max="22" width="16.140625" style="218" customWidth="1"/>
    <col min="23" max="23" width="0.85546875" style="218" hidden="1" customWidth="1"/>
    <col min="24" max="25" width="16.140625" style="218" customWidth="1"/>
    <col min="26" max="26" width="0.85546875" style="218" hidden="1" customWidth="1"/>
    <col min="27" max="28" width="16.140625" style="218" customWidth="1"/>
    <col min="29" max="29" width="0.85546875" style="218" hidden="1" customWidth="1"/>
    <col min="30" max="31" width="16.140625" style="218" customWidth="1"/>
    <col min="32" max="32" width="0.85546875" style="218" hidden="1" customWidth="1"/>
    <col min="33" max="34" width="16.140625" style="218" customWidth="1"/>
    <col min="35" max="35" width="0.85546875" style="218" hidden="1" customWidth="1"/>
    <col min="36" max="37" width="16.140625" style="218" customWidth="1"/>
    <col min="38" max="38" width="0.85546875" style="218" hidden="1" customWidth="1"/>
    <col min="39" max="40" width="16.140625" style="218" customWidth="1"/>
    <col min="41" max="41" width="0.85546875" style="218" hidden="1" customWidth="1"/>
    <col min="42" max="43" width="16.140625" style="218" customWidth="1"/>
    <col min="44" max="44" width="9.140625" style="825"/>
    <col min="45" max="16384" width="9.140625" style="218"/>
  </cols>
  <sheetData>
    <row r="1" spans="1:44" ht="23.1" customHeight="1">
      <c r="A1" s="217"/>
      <c r="B1" s="1647" t="s">
        <v>199</v>
      </c>
      <c r="C1" s="1647"/>
      <c r="D1" s="1647"/>
      <c r="E1" s="1647"/>
      <c r="F1" s="1647"/>
      <c r="G1" s="1647"/>
      <c r="H1" s="1647"/>
      <c r="I1" s="1647"/>
      <c r="J1" s="1647"/>
      <c r="K1" s="1647"/>
      <c r="L1" s="1647"/>
      <c r="M1" s="1647"/>
      <c r="N1" s="333"/>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row>
    <row r="2" spans="1:44" ht="23.1" customHeight="1">
      <c r="A2" s="217"/>
      <c r="B2" s="1647" t="s">
        <v>691</v>
      </c>
      <c r="C2" s="1647"/>
      <c r="D2" s="1647"/>
      <c r="E2" s="1647"/>
      <c r="F2" s="1647"/>
      <c r="G2" s="1647"/>
      <c r="H2" s="1647"/>
      <c r="I2" s="1647"/>
      <c r="J2" s="1647"/>
      <c r="K2" s="1647"/>
      <c r="L2" s="1647"/>
      <c r="M2" s="1647"/>
      <c r="N2" s="333"/>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row>
    <row r="3" spans="1:44" ht="23.1" customHeight="1">
      <c r="A3" s="217"/>
      <c r="B3" s="1648" t="s">
        <v>284</v>
      </c>
      <c r="C3" s="1648"/>
      <c r="D3" s="1648"/>
      <c r="E3" s="1648"/>
      <c r="F3" s="1648"/>
      <c r="G3" s="1648"/>
      <c r="H3" s="1648"/>
      <c r="I3" s="1648"/>
      <c r="J3" s="1648"/>
      <c r="K3" s="1648"/>
      <c r="L3" s="1648"/>
      <c r="M3" s="1648"/>
      <c r="N3" s="334"/>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row>
    <row r="4" spans="1:44" ht="23.1" customHeight="1" thickBot="1">
      <c r="A4" s="217"/>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row>
    <row r="5" spans="1:44" ht="26.25" customHeight="1" thickTop="1">
      <c r="A5" s="217"/>
      <c r="B5" s="1469" t="s">
        <v>239</v>
      </c>
      <c r="C5" s="1470"/>
      <c r="D5" s="1471" t="s">
        <v>335</v>
      </c>
      <c r="E5" s="1483"/>
      <c r="F5" s="1658">
        <v>2020</v>
      </c>
      <c r="G5" s="1659"/>
      <c r="H5" s="930"/>
      <c r="I5" s="1664">
        <v>44197</v>
      </c>
      <c r="J5" s="1661"/>
      <c r="K5" s="930"/>
      <c r="L5" s="1664">
        <v>44228</v>
      </c>
      <c r="M5" s="1661"/>
      <c r="N5" s="930"/>
      <c r="O5" s="1664">
        <v>44256</v>
      </c>
      <c r="P5" s="1661"/>
      <c r="Q5" s="930"/>
      <c r="R5" s="1664">
        <v>44287</v>
      </c>
      <c r="S5" s="1661"/>
      <c r="T5" s="930"/>
      <c r="U5" s="1664">
        <v>44317</v>
      </c>
      <c r="V5" s="1661"/>
      <c r="W5" s="930"/>
      <c r="X5" s="1664">
        <v>44348</v>
      </c>
      <c r="Y5" s="1661"/>
      <c r="Z5" s="930"/>
      <c r="AA5" s="1664">
        <v>44378</v>
      </c>
      <c r="AB5" s="1661"/>
      <c r="AC5" s="930"/>
      <c r="AD5" s="1664">
        <v>44409</v>
      </c>
      <c r="AE5" s="1661"/>
      <c r="AF5" s="930"/>
      <c r="AG5" s="1664">
        <v>44440</v>
      </c>
      <c r="AH5" s="1661"/>
      <c r="AI5" s="930"/>
      <c r="AJ5" s="1664">
        <v>44470</v>
      </c>
      <c r="AK5" s="1661"/>
      <c r="AL5" s="930"/>
      <c r="AM5" s="1664">
        <v>44501</v>
      </c>
      <c r="AN5" s="1661"/>
      <c r="AO5" s="930"/>
      <c r="AP5" s="1664">
        <v>44531</v>
      </c>
      <c r="AQ5" s="1661"/>
    </row>
    <row r="6" spans="1:44" ht="26.25" customHeight="1" thickBot="1">
      <c r="A6" s="217"/>
      <c r="B6" s="1649" t="s">
        <v>0</v>
      </c>
      <c r="C6" s="1650"/>
      <c r="D6" s="1651"/>
      <c r="E6" s="1374"/>
      <c r="F6" s="1375" t="s">
        <v>240</v>
      </c>
      <c r="G6" s="1376" t="s">
        <v>227</v>
      </c>
      <c r="H6" s="935"/>
      <c r="I6" s="1375" t="s">
        <v>247</v>
      </c>
      <c r="J6" s="1376" t="s">
        <v>246</v>
      </c>
      <c r="K6" s="935"/>
      <c r="L6" s="1375" t="s">
        <v>247</v>
      </c>
      <c r="M6" s="1376" t="s">
        <v>246</v>
      </c>
      <c r="N6" s="935"/>
      <c r="O6" s="1375" t="s">
        <v>247</v>
      </c>
      <c r="P6" s="1376" t="s">
        <v>246</v>
      </c>
      <c r="Q6" s="935"/>
      <c r="R6" s="1375" t="s">
        <v>247</v>
      </c>
      <c r="S6" s="1376" t="s">
        <v>246</v>
      </c>
      <c r="T6" s="935"/>
      <c r="U6" s="1375" t="s">
        <v>247</v>
      </c>
      <c r="V6" s="1376" t="s">
        <v>246</v>
      </c>
      <c r="W6" s="935"/>
      <c r="X6" s="1375" t="s">
        <v>247</v>
      </c>
      <c r="Y6" s="1376" t="s">
        <v>246</v>
      </c>
      <c r="Z6" s="935"/>
      <c r="AA6" s="1375" t="s">
        <v>247</v>
      </c>
      <c r="AB6" s="1376" t="s">
        <v>246</v>
      </c>
      <c r="AC6" s="935"/>
      <c r="AD6" s="1375" t="s">
        <v>247</v>
      </c>
      <c r="AE6" s="1376" t="s">
        <v>246</v>
      </c>
      <c r="AF6" s="935"/>
      <c r="AG6" s="1375" t="s">
        <v>247</v>
      </c>
      <c r="AH6" s="1376" t="s">
        <v>246</v>
      </c>
      <c r="AI6" s="935"/>
      <c r="AJ6" s="1375" t="s">
        <v>247</v>
      </c>
      <c r="AK6" s="1376" t="s">
        <v>246</v>
      </c>
      <c r="AL6" s="935"/>
      <c r="AM6" s="1375" t="s">
        <v>247</v>
      </c>
      <c r="AN6" s="1376" t="s">
        <v>246</v>
      </c>
      <c r="AO6" s="935"/>
      <c r="AP6" s="1375" t="s">
        <v>247</v>
      </c>
      <c r="AQ6" s="1376" t="s">
        <v>246</v>
      </c>
    </row>
    <row r="7" spans="1:44" ht="25.5">
      <c r="A7" s="217"/>
      <c r="B7" s="448" t="s">
        <v>22</v>
      </c>
      <c r="C7" s="1377" t="s">
        <v>57</v>
      </c>
      <c r="D7" s="1390">
        <v>15</v>
      </c>
      <c r="E7" s="1391"/>
      <c r="F7" s="1392">
        <v>0.15560000000000002</v>
      </c>
      <c r="G7" s="1393">
        <v>2.334E-2</v>
      </c>
      <c r="H7" s="1198"/>
      <c r="I7" s="1394">
        <v>0.45937499999999998</v>
      </c>
      <c r="J7" s="1395">
        <v>0.48271500000000001</v>
      </c>
      <c r="K7" s="1396"/>
      <c r="L7" s="1394">
        <v>0.54140624999999998</v>
      </c>
      <c r="M7" s="1395">
        <v>0.56474625000000001</v>
      </c>
      <c r="N7" s="1396"/>
      <c r="O7" s="1394">
        <v>0.57281249999999995</v>
      </c>
      <c r="P7" s="1397">
        <v>1.13755875</v>
      </c>
      <c r="Q7" s="1396"/>
      <c r="R7" s="1394">
        <v>0.65625</v>
      </c>
      <c r="S7" s="1397">
        <v>1.79380875</v>
      </c>
      <c r="T7" s="1396"/>
      <c r="U7" s="1394">
        <v>1.5</v>
      </c>
      <c r="V7" s="1397">
        <v>3.2938087500000002</v>
      </c>
      <c r="W7" s="1396"/>
      <c r="X7" s="1394">
        <v>2.25</v>
      </c>
      <c r="Y7" s="1397">
        <v>5.5438087500000002</v>
      </c>
      <c r="Z7" s="1396"/>
      <c r="AA7" s="1394">
        <v>0</v>
      </c>
      <c r="AB7" s="1397">
        <v>5.5438087500000002</v>
      </c>
      <c r="AC7" s="1396"/>
      <c r="AD7" s="1394">
        <v>0</v>
      </c>
      <c r="AE7" s="1397">
        <v>5.5438087500000002</v>
      </c>
      <c r="AF7" s="1396"/>
      <c r="AG7" s="1394">
        <v>6.0937499999999999E-2</v>
      </c>
      <c r="AH7" s="1397">
        <v>5.6047462499999998</v>
      </c>
      <c r="AI7" s="1396"/>
      <c r="AJ7" s="1394">
        <v>6.3984374999999996E-2</v>
      </c>
      <c r="AK7" s="1397">
        <v>5.6687306250000002</v>
      </c>
      <c r="AL7" s="1396"/>
      <c r="AM7" s="1394">
        <v>0</v>
      </c>
      <c r="AN7" s="1397">
        <v>5.6687306250000002</v>
      </c>
      <c r="AO7" s="1396"/>
      <c r="AP7" s="1394">
        <v>0</v>
      </c>
      <c r="AQ7" s="1397">
        <v>5.6687306250000002</v>
      </c>
    </row>
    <row r="8" spans="1:44">
      <c r="A8" s="217"/>
      <c r="B8" s="1398" t="s">
        <v>23</v>
      </c>
      <c r="C8" s="1269" t="s">
        <v>39</v>
      </c>
      <c r="D8" s="1399">
        <v>5</v>
      </c>
      <c r="E8" s="1391"/>
      <c r="F8" s="1400">
        <v>16</v>
      </c>
      <c r="G8" s="1401">
        <v>0.8</v>
      </c>
      <c r="H8" s="1198"/>
      <c r="I8" s="1402">
        <v>0</v>
      </c>
      <c r="J8" s="1403">
        <v>0.8</v>
      </c>
      <c r="K8" s="1396"/>
      <c r="L8" s="1402">
        <v>0</v>
      </c>
      <c r="M8" s="1403">
        <v>0.8</v>
      </c>
      <c r="N8" s="1396"/>
      <c r="O8" s="1402">
        <v>0</v>
      </c>
      <c r="P8" s="1404">
        <v>0.8</v>
      </c>
      <c r="Q8" s="1396"/>
      <c r="R8" s="1402">
        <v>0.5</v>
      </c>
      <c r="S8" s="1404">
        <v>1.3</v>
      </c>
      <c r="T8" s="1396"/>
      <c r="U8" s="1402">
        <v>0.52</v>
      </c>
      <c r="V8" s="1404">
        <v>1.82</v>
      </c>
      <c r="W8" s="1396"/>
      <c r="X8" s="1402">
        <v>0.15</v>
      </c>
      <c r="Y8" s="1404">
        <v>1.97</v>
      </c>
      <c r="Z8" s="1396"/>
      <c r="AA8" s="1402">
        <v>0</v>
      </c>
      <c r="AB8" s="1404">
        <v>1.97</v>
      </c>
      <c r="AC8" s="1396"/>
      <c r="AD8" s="1402">
        <v>0</v>
      </c>
      <c r="AE8" s="1404">
        <v>1.97</v>
      </c>
      <c r="AF8" s="1396"/>
      <c r="AG8" s="1402">
        <v>0.20777777777777776</v>
      </c>
      <c r="AH8" s="1404">
        <v>2.1777777777777776</v>
      </c>
      <c r="AI8" s="1396"/>
      <c r="AJ8" s="1402">
        <v>0.21816666666666668</v>
      </c>
      <c r="AK8" s="1404">
        <v>2.3959444444444444</v>
      </c>
      <c r="AL8" s="1396"/>
      <c r="AM8" s="1402">
        <v>0</v>
      </c>
      <c r="AN8" s="1404">
        <v>2.3959444444444444</v>
      </c>
      <c r="AO8" s="1396"/>
      <c r="AP8" s="1402">
        <v>0</v>
      </c>
      <c r="AQ8" s="1404">
        <v>2.3959444444444444</v>
      </c>
    </row>
    <row r="9" spans="1:44">
      <c r="A9" s="217"/>
      <c r="B9" s="1398" t="s">
        <v>24</v>
      </c>
      <c r="C9" s="1269" t="s">
        <v>181</v>
      </c>
      <c r="D9" s="1399">
        <v>4</v>
      </c>
      <c r="E9" s="1391"/>
      <c r="F9" s="1400">
        <v>9.5250000000000004</v>
      </c>
      <c r="G9" s="1401">
        <v>0.38100000000000001</v>
      </c>
      <c r="H9" s="1198"/>
      <c r="I9" s="1402">
        <v>1.9360639999999998E-4</v>
      </c>
      <c r="J9" s="1403">
        <v>0.3811936064</v>
      </c>
      <c r="K9" s="1396"/>
      <c r="L9" s="1402">
        <v>6.7931179999999994E-2</v>
      </c>
      <c r="M9" s="1403">
        <v>0.44893117999999999</v>
      </c>
      <c r="N9" s="1396"/>
      <c r="O9" s="1402">
        <v>7.7930780000000005E-2</v>
      </c>
      <c r="P9" s="1404">
        <v>0.52686195999999996</v>
      </c>
      <c r="Q9" s="1396"/>
      <c r="R9" s="1402">
        <v>0</v>
      </c>
      <c r="S9" s="1404">
        <v>0.52686195999999996</v>
      </c>
      <c r="T9" s="1396"/>
      <c r="U9" s="1402">
        <v>2.0000000000000001E-4</v>
      </c>
      <c r="V9" s="1404">
        <v>0.52706195999999994</v>
      </c>
      <c r="W9" s="1396"/>
      <c r="X9" s="1402">
        <v>6.6666666666666664E-4</v>
      </c>
      <c r="Y9" s="1404">
        <v>0.52772862666666664</v>
      </c>
      <c r="Z9" s="1396"/>
      <c r="AA9" s="1402">
        <v>1.6666666666666666E-4</v>
      </c>
      <c r="AB9" s="1404">
        <v>0.52789529333333329</v>
      </c>
      <c r="AC9" s="1396"/>
      <c r="AD9" s="1402">
        <v>1.8333333333333335E-3</v>
      </c>
      <c r="AE9" s="1404">
        <v>0.52972862666666665</v>
      </c>
      <c r="AF9" s="1396"/>
      <c r="AG9" s="1402">
        <v>5.3333333333333332E-3</v>
      </c>
      <c r="AH9" s="1404">
        <v>0.53506195999999995</v>
      </c>
      <c r="AI9" s="1396"/>
      <c r="AJ9" s="1402">
        <v>5.6000000000000008E-3</v>
      </c>
      <c r="AK9" s="1404">
        <v>0.54066196</v>
      </c>
      <c r="AL9" s="1396"/>
      <c r="AM9" s="1402">
        <v>0</v>
      </c>
      <c r="AN9" s="1404">
        <v>0.54066196</v>
      </c>
      <c r="AO9" s="1396"/>
      <c r="AP9" s="1402">
        <v>0</v>
      </c>
      <c r="AQ9" s="1404">
        <v>0.54066196</v>
      </c>
    </row>
    <row r="10" spans="1:44">
      <c r="A10" s="217"/>
      <c r="B10" s="1398" t="s">
        <v>25</v>
      </c>
      <c r="C10" s="1269" t="s">
        <v>182</v>
      </c>
      <c r="D10" s="1399">
        <v>4</v>
      </c>
      <c r="E10" s="1391"/>
      <c r="F10" s="1400">
        <v>9.25</v>
      </c>
      <c r="G10" s="1401">
        <v>0.37</v>
      </c>
      <c r="H10" s="1198"/>
      <c r="I10" s="1402">
        <v>0</v>
      </c>
      <c r="J10" s="1403">
        <v>0.37</v>
      </c>
      <c r="K10" s="1396"/>
      <c r="L10" s="1402">
        <v>9.5335199999999995E-2</v>
      </c>
      <c r="M10" s="1403">
        <v>0.4653352</v>
      </c>
      <c r="N10" s="1396"/>
      <c r="O10" s="1402">
        <v>9.7924499999999984E-2</v>
      </c>
      <c r="P10" s="1404">
        <v>0.56325970000000003</v>
      </c>
      <c r="Q10" s="1396"/>
      <c r="R10" s="1402">
        <v>0</v>
      </c>
      <c r="S10" s="1404">
        <v>0.56325970000000003</v>
      </c>
      <c r="T10" s="1396"/>
      <c r="U10" s="1402">
        <v>0</v>
      </c>
      <c r="V10" s="1404">
        <v>0.56325970000000003</v>
      </c>
      <c r="W10" s="1396"/>
      <c r="X10" s="1402">
        <v>6.6666666666666664E-4</v>
      </c>
      <c r="Y10" s="1404">
        <v>0.56392636666666673</v>
      </c>
      <c r="Z10" s="1396"/>
      <c r="AA10" s="1402">
        <v>2.6666666666666668E-4</v>
      </c>
      <c r="AB10" s="1404">
        <v>0.56419303333333337</v>
      </c>
      <c r="AC10" s="1396"/>
      <c r="AD10" s="1402">
        <v>2.6666666666666666E-3</v>
      </c>
      <c r="AE10" s="1404">
        <v>0.56685970000000008</v>
      </c>
      <c r="AF10" s="1396"/>
      <c r="AG10" s="1402">
        <v>8.0000000000000002E-3</v>
      </c>
      <c r="AH10" s="1404">
        <v>0.57485970000000008</v>
      </c>
      <c r="AI10" s="1396"/>
      <c r="AJ10" s="1402">
        <v>8.4000000000000012E-3</v>
      </c>
      <c r="AK10" s="1404">
        <v>0.58325970000000005</v>
      </c>
      <c r="AL10" s="1396"/>
      <c r="AM10" s="1402">
        <v>0</v>
      </c>
      <c r="AN10" s="1404">
        <v>0.58325970000000005</v>
      </c>
      <c r="AO10" s="1396"/>
      <c r="AP10" s="1402">
        <v>0</v>
      </c>
      <c r="AQ10" s="1404">
        <v>0.58325970000000005</v>
      </c>
    </row>
    <row r="11" spans="1:44" ht="46.5" customHeight="1">
      <c r="A11" s="217"/>
      <c r="B11" s="1405" t="s">
        <v>165</v>
      </c>
      <c r="C11" s="1275" t="s">
        <v>180</v>
      </c>
      <c r="D11" s="1406">
        <v>2</v>
      </c>
      <c r="E11" s="1391"/>
      <c r="F11" s="1400">
        <v>0.7</v>
      </c>
      <c r="G11" s="1401">
        <v>1.3999999999999999E-2</v>
      </c>
      <c r="H11" s="1198"/>
      <c r="I11" s="1402">
        <v>6.2422399999999996E-2</v>
      </c>
      <c r="J11" s="1403">
        <v>7.6422400000000001E-2</v>
      </c>
      <c r="K11" s="1396"/>
      <c r="L11" s="1402">
        <v>4.2884000000000005E-2</v>
      </c>
      <c r="M11" s="1403">
        <v>5.6884000000000004E-2</v>
      </c>
      <c r="N11" s="1396"/>
      <c r="O11" s="1402">
        <v>6.2422399999999996E-2</v>
      </c>
      <c r="P11" s="1404">
        <v>0.11930640000000001</v>
      </c>
      <c r="Q11" s="1396"/>
      <c r="R11" s="1402">
        <v>0.1696</v>
      </c>
      <c r="S11" s="1404">
        <v>0.28890640000000001</v>
      </c>
      <c r="T11" s="1396"/>
      <c r="U11" s="1402">
        <v>0.19200000000000003</v>
      </c>
      <c r="V11" s="1404">
        <v>0.48090640000000007</v>
      </c>
      <c r="W11" s="1396"/>
      <c r="X11" s="1402">
        <v>3.6399999999999995E-2</v>
      </c>
      <c r="Y11" s="1404">
        <v>0.51730640000000006</v>
      </c>
      <c r="Z11" s="1396"/>
      <c r="AA11" s="1402">
        <v>2E-3</v>
      </c>
      <c r="AB11" s="1404">
        <v>0.51930640000000006</v>
      </c>
      <c r="AC11" s="1396"/>
      <c r="AD11" s="1402">
        <v>5.04E-2</v>
      </c>
      <c r="AE11" s="1404">
        <v>0.56970640000000006</v>
      </c>
      <c r="AF11" s="1396"/>
      <c r="AG11" s="1402">
        <v>0.13072</v>
      </c>
      <c r="AH11" s="1404">
        <v>0.7004264</v>
      </c>
      <c r="AI11" s="1396"/>
      <c r="AJ11" s="1402">
        <v>0.13725599999999999</v>
      </c>
      <c r="AK11" s="1404">
        <v>0.83768240000000005</v>
      </c>
      <c r="AL11" s="1396"/>
      <c r="AM11" s="1402">
        <v>0</v>
      </c>
      <c r="AN11" s="1404">
        <v>0.83768240000000005</v>
      </c>
      <c r="AO11" s="1396"/>
      <c r="AP11" s="1402">
        <v>0</v>
      </c>
      <c r="AQ11" s="1404">
        <v>0.83768240000000005</v>
      </c>
    </row>
    <row r="12" spans="1:44" ht="15.75" thickBot="1">
      <c r="A12" s="217"/>
      <c r="B12" s="1405"/>
      <c r="C12" s="1278" t="s">
        <v>113</v>
      </c>
      <c r="D12" s="1407">
        <v>30</v>
      </c>
      <c r="E12" s="1408"/>
      <c r="F12" s="1409"/>
      <c r="G12" s="1410">
        <v>1.5883400000000003</v>
      </c>
      <c r="H12" s="1198"/>
      <c r="I12" s="1411"/>
      <c r="J12" s="1412">
        <v>2.1103310064</v>
      </c>
      <c r="K12" s="1396"/>
      <c r="L12" s="1411"/>
      <c r="M12" s="1412">
        <v>2.3358966300000001</v>
      </c>
      <c r="N12" s="1396"/>
      <c r="O12" s="1411">
        <v>0.81109017999999988</v>
      </c>
      <c r="P12" s="1412">
        <v>3.14698681</v>
      </c>
      <c r="Q12" s="1396"/>
      <c r="R12" s="1411">
        <v>1.32585</v>
      </c>
      <c r="S12" s="1412">
        <v>4.4728368099999996</v>
      </c>
      <c r="T12" s="1396"/>
      <c r="U12" s="1411">
        <v>2.2122000000000002</v>
      </c>
      <c r="V12" s="1412">
        <v>6.6850368100000006</v>
      </c>
      <c r="W12" s="1396"/>
      <c r="X12" s="1411">
        <v>2.4377333333333331</v>
      </c>
      <c r="Y12" s="1412">
        <v>9.1227701433333337</v>
      </c>
      <c r="Z12" s="1396"/>
      <c r="AA12" s="1411">
        <v>2.4333333333333334E-3</v>
      </c>
      <c r="AB12" s="1412">
        <v>9.1252034766666661</v>
      </c>
      <c r="AC12" s="1396"/>
      <c r="AD12" s="1411">
        <v>5.4900000000000004E-2</v>
      </c>
      <c r="AE12" s="1412">
        <v>9.180103476666666</v>
      </c>
      <c r="AF12" s="1396"/>
      <c r="AG12" s="1411">
        <v>0.41276861111111113</v>
      </c>
      <c r="AH12" s="1412">
        <v>9.592872087777776</v>
      </c>
      <c r="AI12" s="1396"/>
      <c r="AJ12" s="1411">
        <v>0.43340704166666666</v>
      </c>
      <c r="AK12" s="1412">
        <v>10.026279129444443</v>
      </c>
      <c r="AL12" s="1396"/>
      <c r="AM12" s="1411">
        <v>0</v>
      </c>
      <c r="AN12" s="1412">
        <v>10.026279129444443</v>
      </c>
      <c r="AO12" s="1396"/>
      <c r="AP12" s="1411">
        <v>0</v>
      </c>
      <c r="AQ12" s="1412">
        <v>10.026279129444443</v>
      </c>
      <c r="AR12" s="1009"/>
    </row>
    <row r="13" spans="1:44">
      <c r="A13" s="217"/>
      <c r="B13" s="1638" t="s">
        <v>1</v>
      </c>
      <c r="C13" s="1639"/>
      <c r="D13" s="1640"/>
      <c r="E13" s="1378"/>
      <c r="F13" s="1379"/>
      <c r="G13" s="1380"/>
      <c r="H13" s="1198"/>
      <c r="I13" s="1381"/>
      <c r="J13" s="1382"/>
      <c r="K13" s="1396"/>
      <c r="L13" s="1381"/>
      <c r="M13" s="1382"/>
      <c r="N13" s="1396"/>
      <c r="O13" s="1381"/>
      <c r="P13" s="1382"/>
      <c r="Q13" s="1396"/>
      <c r="R13" s="1381"/>
      <c r="S13" s="1382"/>
      <c r="T13" s="1396"/>
      <c r="U13" s="1381"/>
      <c r="V13" s="1382"/>
      <c r="W13" s="1396"/>
      <c r="X13" s="1381"/>
      <c r="Y13" s="1382"/>
      <c r="Z13" s="1396"/>
      <c r="AA13" s="1381"/>
      <c r="AB13" s="1382"/>
      <c r="AC13" s="1396"/>
      <c r="AD13" s="1381"/>
      <c r="AE13" s="1382"/>
      <c r="AF13" s="1396"/>
      <c r="AG13" s="1381"/>
      <c r="AH13" s="1382"/>
      <c r="AI13" s="1396"/>
      <c r="AJ13" s="1381"/>
      <c r="AK13" s="1382"/>
      <c r="AL13" s="1396"/>
      <c r="AM13" s="1381"/>
      <c r="AN13" s="1382"/>
      <c r="AO13" s="1396"/>
      <c r="AP13" s="1381"/>
      <c r="AQ13" s="1382"/>
    </row>
    <row r="14" spans="1:44">
      <c r="A14" s="217"/>
      <c r="B14" s="1413" t="s">
        <v>26</v>
      </c>
      <c r="C14" s="1308" t="s">
        <v>58</v>
      </c>
      <c r="D14" s="1399">
        <v>5</v>
      </c>
      <c r="E14" s="1414"/>
      <c r="F14" s="1415">
        <v>6.25</v>
      </c>
      <c r="G14" s="1401">
        <v>0.3125</v>
      </c>
      <c r="H14" s="1198"/>
      <c r="I14" s="1402">
        <v>7.1874999999999994E-2</v>
      </c>
      <c r="J14" s="1403">
        <v>0.38437500000000002</v>
      </c>
      <c r="K14" s="1396"/>
      <c r="L14" s="1402">
        <v>7.8125E-2</v>
      </c>
      <c r="M14" s="1416">
        <v>0.390625</v>
      </c>
      <c r="N14" s="1396"/>
      <c r="O14" s="1402">
        <v>9.0624999999999997E-2</v>
      </c>
      <c r="P14" s="1404">
        <v>0.48125000000000001</v>
      </c>
      <c r="Q14" s="1396"/>
      <c r="R14" s="1402">
        <v>9.1437499999999991E-2</v>
      </c>
      <c r="S14" s="1404">
        <v>0.57268750000000002</v>
      </c>
      <c r="T14" s="1396"/>
      <c r="U14" s="1402">
        <v>3.0499999999999999E-2</v>
      </c>
      <c r="V14" s="1404">
        <v>0.60318749999999999</v>
      </c>
      <c r="W14" s="1396"/>
      <c r="X14" s="1402">
        <v>0.15437500000000001</v>
      </c>
      <c r="Y14" s="1404">
        <v>0.75756250000000003</v>
      </c>
      <c r="Z14" s="1396"/>
      <c r="AA14" s="1402">
        <v>0</v>
      </c>
      <c r="AB14" s="1404">
        <v>0.75756250000000003</v>
      </c>
      <c r="AC14" s="1396"/>
      <c r="AD14" s="1402">
        <v>2.75E-2</v>
      </c>
      <c r="AE14" s="1404">
        <v>0.7850625</v>
      </c>
      <c r="AF14" s="1396"/>
      <c r="AG14" s="1402">
        <v>5.2347500000000019E-2</v>
      </c>
      <c r="AH14" s="1404">
        <v>0.83740999999999999</v>
      </c>
      <c r="AI14" s="1396"/>
      <c r="AJ14" s="1402">
        <v>5.4964875000000003E-2</v>
      </c>
      <c r="AK14" s="1404">
        <v>0.89237487500000001</v>
      </c>
      <c r="AL14" s="1396"/>
      <c r="AM14" s="1402">
        <v>0</v>
      </c>
      <c r="AN14" s="1404">
        <v>0.89237487500000001</v>
      </c>
      <c r="AO14" s="1396"/>
      <c r="AP14" s="1402">
        <v>0</v>
      </c>
      <c r="AQ14" s="1404">
        <v>0.89237487500000001</v>
      </c>
    </row>
    <row r="15" spans="1:44">
      <c r="A15" s="217"/>
      <c r="B15" s="1413" t="s">
        <v>27</v>
      </c>
      <c r="C15" s="1308" t="s">
        <v>54</v>
      </c>
      <c r="D15" s="1399">
        <v>5</v>
      </c>
      <c r="E15" s="1414"/>
      <c r="F15" s="1415">
        <v>16.98</v>
      </c>
      <c r="G15" s="1401">
        <v>0.84900000000000009</v>
      </c>
      <c r="H15" s="1198"/>
      <c r="I15" s="1402">
        <v>4.2750000000000003E-2</v>
      </c>
      <c r="J15" s="1403">
        <v>0.89175000000000004</v>
      </c>
      <c r="K15" s="1396"/>
      <c r="L15" s="1402">
        <v>8.5500000000000007E-2</v>
      </c>
      <c r="M15" s="1416">
        <v>0.93450000000000011</v>
      </c>
      <c r="N15" s="1396"/>
      <c r="O15" s="1402">
        <v>8.9749999999999996E-2</v>
      </c>
      <c r="P15" s="1404">
        <v>1.0242500000000001</v>
      </c>
      <c r="Q15" s="1396"/>
      <c r="R15" s="1402">
        <v>0.3</v>
      </c>
      <c r="S15" s="1404">
        <v>1.3242500000000001</v>
      </c>
      <c r="T15" s="1396"/>
      <c r="U15" s="1402">
        <v>0.3125</v>
      </c>
      <c r="V15" s="1404">
        <v>1.6367500000000001</v>
      </c>
      <c r="W15" s="1396"/>
      <c r="X15" s="1402">
        <v>7.4618421052631584E-2</v>
      </c>
      <c r="Y15" s="1404">
        <v>1.7113684210526316</v>
      </c>
      <c r="Z15" s="1396"/>
      <c r="AA15" s="1402">
        <v>9.0111842105263171E-3</v>
      </c>
      <c r="AB15" s="1404">
        <v>1.7203796052631579</v>
      </c>
      <c r="AC15" s="1396"/>
      <c r="AD15" s="1402">
        <v>7.3927631578947356E-2</v>
      </c>
      <c r="AE15" s="1404">
        <v>1.7943072368421054</v>
      </c>
      <c r="AF15" s="1396"/>
      <c r="AG15" s="1402">
        <v>0.91949999999999987</v>
      </c>
      <c r="AH15" s="1404">
        <v>2.7138072368421051</v>
      </c>
      <c r="AI15" s="1396"/>
      <c r="AJ15" s="1402">
        <v>0.96547499999999986</v>
      </c>
      <c r="AK15" s="1404">
        <v>3.6792822368421048</v>
      </c>
      <c r="AL15" s="1396"/>
      <c r="AM15" s="1402">
        <v>0</v>
      </c>
      <c r="AN15" s="1404">
        <v>3.6792822368421048</v>
      </c>
      <c r="AO15" s="1396"/>
      <c r="AP15" s="1402">
        <v>0</v>
      </c>
      <c r="AQ15" s="1404">
        <v>3.6792822368421048</v>
      </c>
    </row>
    <row r="16" spans="1:44">
      <c r="A16" s="217"/>
      <c r="B16" s="1417" t="s">
        <v>30</v>
      </c>
      <c r="C16" s="1311" t="s">
        <v>60</v>
      </c>
      <c r="D16" s="1399">
        <v>2</v>
      </c>
      <c r="E16" s="1391"/>
      <c r="F16" s="1415">
        <v>26.3</v>
      </c>
      <c r="G16" s="1401">
        <v>0.52600000000000002</v>
      </c>
      <c r="H16" s="1198"/>
      <c r="I16" s="1402">
        <v>7.2400000000000006E-2</v>
      </c>
      <c r="J16" s="1403">
        <v>0.59840000000000004</v>
      </c>
      <c r="K16" s="1396"/>
      <c r="L16" s="1402">
        <v>0.12304999999999999</v>
      </c>
      <c r="M16" s="1416">
        <v>0.64905000000000002</v>
      </c>
      <c r="N16" s="1396"/>
      <c r="O16" s="1402">
        <v>0.13905000000000001</v>
      </c>
      <c r="P16" s="1404">
        <v>0.78810000000000002</v>
      </c>
      <c r="Q16" s="1396"/>
      <c r="R16" s="1402">
        <v>0.79200000000000004</v>
      </c>
      <c r="S16" s="1404">
        <v>1.5801000000000001</v>
      </c>
      <c r="T16" s="1396"/>
      <c r="U16" s="1402">
        <v>0</v>
      </c>
      <c r="V16" s="1404">
        <v>1.5801000000000001</v>
      </c>
      <c r="W16" s="1396"/>
      <c r="X16" s="1402">
        <v>0</v>
      </c>
      <c r="Y16" s="1404">
        <v>1.5801000000000001</v>
      </c>
      <c r="Z16" s="1396"/>
      <c r="AA16" s="1402">
        <v>0</v>
      </c>
      <c r="AB16" s="1404">
        <v>1.5801000000000001</v>
      </c>
      <c r="AC16" s="1396"/>
      <c r="AD16" s="1402">
        <v>0</v>
      </c>
      <c r="AE16" s="1404">
        <v>1.5801000000000001</v>
      </c>
      <c r="AF16" s="1396"/>
      <c r="AG16" s="1402">
        <v>0.11733333333333335</v>
      </c>
      <c r="AH16" s="1404">
        <v>1.6974333333333333</v>
      </c>
      <c r="AI16" s="1396"/>
      <c r="AJ16" s="1402">
        <v>0.1232</v>
      </c>
      <c r="AK16" s="1404">
        <v>1.8206333333333333</v>
      </c>
      <c r="AL16" s="1396"/>
      <c r="AM16" s="1402">
        <v>0</v>
      </c>
      <c r="AN16" s="1404">
        <v>1.8206333333333333</v>
      </c>
      <c r="AO16" s="1396"/>
      <c r="AP16" s="1402">
        <v>0</v>
      </c>
      <c r="AQ16" s="1404">
        <v>1.8206333333333333</v>
      </c>
    </row>
    <row r="17" spans="1:44">
      <c r="A17" s="217"/>
      <c r="B17" s="1417" t="s">
        <v>31</v>
      </c>
      <c r="C17" s="1313" t="s">
        <v>61</v>
      </c>
      <c r="D17" s="1399">
        <v>2</v>
      </c>
      <c r="E17" s="1391"/>
      <c r="F17" s="1415">
        <v>30.3</v>
      </c>
      <c r="G17" s="1401">
        <v>0.60599999999999998</v>
      </c>
      <c r="H17" s="1198"/>
      <c r="I17" s="1402">
        <v>5.4150000000000004E-2</v>
      </c>
      <c r="J17" s="1403">
        <v>0.66015000000000001</v>
      </c>
      <c r="K17" s="1396"/>
      <c r="L17" s="1402">
        <v>0.10205</v>
      </c>
      <c r="M17" s="1416">
        <v>0.70804999999999996</v>
      </c>
      <c r="N17" s="1396"/>
      <c r="O17" s="1402">
        <v>0.1033</v>
      </c>
      <c r="P17" s="1404">
        <v>0.81135000000000002</v>
      </c>
      <c r="Q17" s="1396"/>
      <c r="R17" s="1402">
        <v>0.75</v>
      </c>
      <c r="S17" s="1404">
        <v>1.56135</v>
      </c>
      <c r="T17" s="1396"/>
      <c r="U17" s="1402">
        <v>0.2</v>
      </c>
      <c r="V17" s="1404">
        <v>1.76135</v>
      </c>
      <c r="W17" s="1396"/>
      <c r="X17" s="1402">
        <v>0</v>
      </c>
      <c r="Y17" s="1404">
        <v>1.76135</v>
      </c>
      <c r="Z17" s="1396"/>
      <c r="AA17" s="1402">
        <v>0</v>
      </c>
      <c r="AB17" s="1404">
        <v>1.76135</v>
      </c>
      <c r="AC17" s="1396"/>
      <c r="AD17" s="1402">
        <v>0</v>
      </c>
      <c r="AE17" s="1404">
        <v>1.76135</v>
      </c>
      <c r="AF17" s="1396"/>
      <c r="AG17" s="1402">
        <v>0.19183333333333338</v>
      </c>
      <c r="AH17" s="1404">
        <v>1.9531833333333333</v>
      </c>
      <c r="AI17" s="1396"/>
      <c r="AJ17" s="1402">
        <v>0.20142500000000002</v>
      </c>
      <c r="AK17" s="1404">
        <v>2.1546083333333335</v>
      </c>
      <c r="AL17" s="1396"/>
      <c r="AM17" s="1402">
        <v>0</v>
      </c>
      <c r="AN17" s="1404">
        <v>2.1546083333333335</v>
      </c>
      <c r="AO17" s="1396"/>
      <c r="AP17" s="1402">
        <v>0</v>
      </c>
      <c r="AQ17" s="1404">
        <v>2.1546083333333335</v>
      </c>
    </row>
    <row r="18" spans="1:44" ht="21" thickBot="1">
      <c r="A18" s="217"/>
      <c r="B18" s="1417"/>
      <c r="C18" s="1314" t="s">
        <v>5</v>
      </c>
      <c r="D18" s="1418">
        <v>14</v>
      </c>
      <c r="E18" s="1419"/>
      <c r="F18" s="1420"/>
      <c r="G18" s="1421">
        <v>2.2935000000000003</v>
      </c>
      <c r="H18" s="1198"/>
      <c r="I18" s="1422"/>
      <c r="J18" s="1423">
        <v>2.534675</v>
      </c>
      <c r="K18" s="1396"/>
      <c r="L18" s="1422"/>
      <c r="M18" s="1423">
        <v>2.6822250000000003</v>
      </c>
      <c r="N18" s="1396"/>
      <c r="O18" s="1422">
        <v>0.42272500000000002</v>
      </c>
      <c r="P18" s="259">
        <v>3.1049500000000001</v>
      </c>
      <c r="Q18" s="1396"/>
      <c r="R18" s="1422">
        <v>1.9334375000000001</v>
      </c>
      <c r="S18" s="259">
        <v>5.0383875000000007</v>
      </c>
      <c r="T18" s="1396"/>
      <c r="U18" s="1422">
        <v>0.54299999999999993</v>
      </c>
      <c r="V18" s="259">
        <v>5.5813874999999999</v>
      </c>
      <c r="W18" s="1396"/>
      <c r="X18" s="1422">
        <v>0.2289934210526316</v>
      </c>
      <c r="Y18" s="259">
        <v>5.8103809210526318</v>
      </c>
      <c r="Z18" s="1396"/>
      <c r="AA18" s="1422">
        <v>9.0111842105263171E-3</v>
      </c>
      <c r="AB18" s="259">
        <v>5.8193921052631579</v>
      </c>
      <c r="AC18" s="1396"/>
      <c r="AD18" s="1422">
        <v>0.10142763157894735</v>
      </c>
      <c r="AE18" s="259">
        <v>5.9208197368421054</v>
      </c>
      <c r="AF18" s="1396"/>
      <c r="AG18" s="1422">
        <v>1.2810141666666666</v>
      </c>
      <c r="AH18" s="259">
        <v>7.2018339035087724</v>
      </c>
      <c r="AI18" s="1396"/>
      <c r="AJ18" s="1422">
        <v>1.3450648749999998</v>
      </c>
      <c r="AK18" s="259">
        <v>8.5468987785087709</v>
      </c>
      <c r="AL18" s="1396"/>
      <c r="AM18" s="1422">
        <v>0</v>
      </c>
      <c r="AN18" s="259">
        <v>8.5468987785087709</v>
      </c>
      <c r="AO18" s="1396"/>
      <c r="AP18" s="1422">
        <v>0</v>
      </c>
      <c r="AQ18" s="259">
        <v>8.5468987785087709</v>
      </c>
      <c r="AR18" s="1010"/>
    </row>
    <row r="19" spans="1:44">
      <c r="A19" s="217"/>
      <c r="B19" s="1652" t="s">
        <v>2</v>
      </c>
      <c r="C19" s="1653"/>
      <c r="D19" s="1654"/>
      <c r="E19" s="1383"/>
      <c r="F19" s="1384"/>
      <c r="G19" s="1385"/>
      <c r="H19" s="1198"/>
      <c r="I19" s="1386"/>
      <c r="J19" s="1387"/>
      <c r="K19" s="1396"/>
      <c r="L19" s="1386"/>
      <c r="M19" s="1387"/>
      <c r="N19" s="1396"/>
      <c r="O19" s="1388"/>
      <c r="P19" s="1389"/>
      <c r="Q19" s="1396"/>
      <c r="R19" s="1388"/>
      <c r="S19" s="1389"/>
      <c r="T19" s="1396"/>
      <c r="U19" s="1388"/>
      <c r="V19" s="1389"/>
      <c r="W19" s="1396"/>
      <c r="X19" s="1388"/>
      <c r="Y19" s="1389"/>
      <c r="Z19" s="1396"/>
      <c r="AA19" s="1388"/>
      <c r="AB19" s="1389"/>
      <c r="AC19" s="1396"/>
      <c r="AD19" s="1388"/>
      <c r="AE19" s="1389"/>
      <c r="AF19" s="1396"/>
      <c r="AG19" s="1388"/>
      <c r="AH19" s="1389"/>
      <c r="AI19" s="1396"/>
      <c r="AJ19" s="1388"/>
      <c r="AK19" s="1389"/>
      <c r="AL19" s="1396"/>
      <c r="AM19" s="1388"/>
      <c r="AN19" s="1389"/>
      <c r="AO19" s="1396"/>
      <c r="AP19" s="1388"/>
      <c r="AQ19" s="1389"/>
    </row>
    <row r="20" spans="1:44" ht="28.5">
      <c r="A20" s="217"/>
      <c r="B20" s="1413" t="s">
        <v>32</v>
      </c>
      <c r="C20" s="191" t="s">
        <v>193</v>
      </c>
      <c r="D20" s="1399">
        <v>2</v>
      </c>
      <c r="E20" s="1414"/>
      <c r="F20" s="1415">
        <v>19</v>
      </c>
      <c r="G20" s="1401">
        <v>0.38</v>
      </c>
      <c r="H20" s="1198"/>
      <c r="I20" s="1402">
        <v>0</v>
      </c>
      <c r="J20" s="1403">
        <v>0.38</v>
      </c>
      <c r="K20" s="1396"/>
      <c r="L20" s="1402">
        <v>0</v>
      </c>
      <c r="M20" s="1403">
        <v>0.38</v>
      </c>
      <c r="N20" s="1396"/>
      <c r="O20" s="1402">
        <v>0.14649999999999999</v>
      </c>
      <c r="P20" s="1404">
        <v>0.52649999999999997</v>
      </c>
      <c r="Q20" s="1396"/>
      <c r="R20" s="1402">
        <v>0.25</v>
      </c>
      <c r="S20" s="1404">
        <v>0.77649999999999997</v>
      </c>
      <c r="T20" s="1396"/>
      <c r="U20" s="1402">
        <v>0.2</v>
      </c>
      <c r="V20" s="1404">
        <v>0.97649999999999992</v>
      </c>
      <c r="W20" s="1396"/>
      <c r="X20" s="1402">
        <v>0.15</v>
      </c>
      <c r="Y20" s="1404">
        <v>1.1264999999999998</v>
      </c>
      <c r="Z20" s="1396"/>
      <c r="AA20" s="1402">
        <v>5.0000000000000001E-3</v>
      </c>
      <c r="AB20" s="1404">
        <v>1.1314999999999997</v>
      </c>
      <c r="AC20" s="1396"/>
      <c r="AD20" s="1402">
        <v>0.14000000000000001</v>
      </c>
      <c r="AE20" s="1404">
        <v>1.2714999999999996</v>
      </c>
      <c r="AF20" s="1396"/>
      <c r="AG20" s="1402">
        <v>0.27</v>
      </c>
      <c r="AH20" s="1404">
        <v>1.5414999999999996</v>
      </c>
      <c r="AI20" s="1396"/>
      <c r="AJ20" s="1402">
        <v>0.28350000000000003</v>
      </c>
      <c r="AK20" s="1404">
        <v>1.8249999999999997</v>
      </c>
      <c r="AL20" s="1396"/>
      <c r="AM20" s="1402">
        <v>0</v>
      </c>
      <c r="AN20" s="1404">
        <v>1.8249999999999997</v>
      </c>
      <c r="AO20" s="1396"/>
      <c r="AP20" s="1402">
        <v>0</v>
      </c>
      <c r="AQ20" s="1404">
        <v>1.8249999999999997</v>
      </c>
    </row>
    <row r="21" spans="1:44">
      <c r="A21" s="217"/>
      <c r="B21" s="1413" t="s">
        <v>33</v>
      </c>
      <c r="C21" s="1308" t="s">
        <v>194</v>
      </c>
      <c r="D21" s="1399">
        <v>2</v>
      </c>
      <c r="E21" s="1414"/>
      <c r="F21" s="1415">
        <v>14.5</v>
      </c>
      <c r="G21" s="1401">
        <v>0.28999999999999998</v>
      </c>
      <c r="H21" s="1198"/>
      <c r="I21" s="1402">
        <v>0</v>
      </c>
      <c r="J21" s="1403">
        <v>0.28999999999999998</v>
      </c>
      <c r="K21" s="1396"/>
      <c r="L21" s="1402">
        <v>0</v>
      </c>
      <c r="M21" s="1403">
        <v>0.28999999999999998</v>
      </c>
      <c r="N21" s="1396"/>
      <c r="O21" s="1402">
        <v>0</v>
      </c>
      <c r="P21" s="1404">
        <v>0.28999999999999998</v>
      </c>
      <c r="Q21" s="1396"/>
      <c r="R21" s="1402">
        <v>0.12</v>
      </c>
      <c r="S21" s="1404">
        <v>0.41</v>
      </c>
      <c r="T21" s="1396"/>
      <c r="U21" s="1402">
        <v>0</v>
      </c>
      <c r="V21" s="1404">
        <v>0.41</v>
      </c>
      <c r="W21" s="1396"/>
      <c r="X21" s="1402">
        <v>7.0000000000000007E-2</v>
      </c>
      <c r="Y21" s="1404">
        <v>0.48</v>
      </c>
      <c r="Z21" s="1396"/>
      <c r="AA21" s="1402">
        <v>0</v>
      </c>
      <c r="AB21" s="1404">
        <v>0.48</v>
      </c>
      <c r="AC21" s="1396"/>
      <c r="AD21" s="1402">
        <v>4.5999999999999999E-2</v>
      </c>
      <c r="AE21" s="1404">
        <v>0.52600000000000002</v>
      </c>
      <c r="AF21" s="1396"/>
      <c r="AG21" s="1402">
        <v>9.6999999999999989E-2</v>
      </c>
      <c r="AH21" s="1404">
        <v>0.623</v>
      </c>
      <c r="AI21" s="1396"/>
      <c r="AJ21" s="1402">
        <v>0.10185000000000001</v>
      </c>
      <c r="AK21" s="1404">
        <v>0.72484999999999999</v>
      </c>
      <c r="AL21" s="1396"/>
      <c r="AM21" s="1402">
        <v>0</v>
      </c>
      <c r="AN21" s="1404">
        <v>0.72484999999999999</v>
      </c>
      <c r="AO21" s="1396"/>
      <c r="AP21" s="1402">
        <v>0</v>
      </c>
      <c r="AQ21" s="1404">
        <v>0.72484999999999999</v>
      </c>
    </row>
    <row r="22" spans="1:44">
      <c r="A22" s="217"/>
      <c r="B22" s="1413" t="s">
        <v>34</v>
      </c>
      <c r="C22" s="1308" t="s">
        <v>195</v>
      </c>
      <c r="D22" s="1399">
        <v>2</v>
      </c>
      <c r="E22" s="1414"/>
      <c r="F22" s="1415">
        <v>11.5</v>
      </c>
      <c r="G22" s="1401">
        <v>0.23</v>
      </c>
      <c r="H22" s="1198"/>
      <c r="I22" s="1402">
        <v>0</v>
      </c>
      <c r="J22" s="1403">
        <v>0.23</v>
      </c>
      <c r="K22" s="1396"/>
      <c r="L22" s="1402">
        <v>0</v>
      </c>
      <c r="M22" s="1403">
        <v>0.23</v>
      </c>
      <c r="N22" s="1396"/>
      <c r="O22" s="1402">
        <v>0</v>
      </c>
      <c r="P22" s="1404">
        <v>0.23</v>
      </c>
      <c r="Q22" s="1396"/>
      <c r="R22" s="1402">
        <v>0</v>
      </c>
      <c r="S22" s="1404">
        <v>0.23</v>
      </c>
      <c r="T22" s="1396"/>
      <c r="U22" s="1402">
        <v>0</v>
      </c>
      <c r="V22" s="1404">
        <v>0.23</v>
      </c>
      <c r="W22" s="1396"/>
      <c r="X22" s="1402">
        <v>0.6</v>
      </c>
      <c r="Y22" s="1404">
        <v>0.83</v>
      </c>
      <c r="Z22" s="1396"/>
      <c r="AA22" s="1402">
        <v>8.0000000000000002E-3</v>
      </c>
      <c r="AB22" s="1404">
        <v>0.83799999999999997</v>
      </c>
      <c r="AC22" s="1396"/>
      <c r="AD22" s="1402">
        <v>6.4000000000000001E-2</v>
      </c>
      <c r="AE22" s="1404">
        <v>0.90199999999999991</v>
      </c>
      <c r="AF22" s="1396"/>
      <c r="AG22" s="1402">
        <v>0.17200000000000004</v>
      </c>
      <c r="AH22" s="1404">
        <v>1.0739999999999998</v>
      </c>
      <c r="AI22" s="1396"/>
      <c r="AJ22" s="1402">
        <v>0.18060000000000001</v>
      </c>
      <c r="AK22" s="1404">
        <v>1.2545999999999999</v>
      </c>
      <c r="AL22" s="1396"/>
      <c r="AM22" s="1402">
        <v>0</v>
      </c>
      <c r="AN22" s="1404">
        <v>1.2545999999999999</v>
      </c>
      <c r="AO22" s="1396"/>
      <c r="AP22" s="1402">
        <v>0</v>
      </c>
      <c r="AQ22" s="1404">
        <v>1.2545999999999999</v>
      </c>
    </row>
    <row r="23" spans="1:44">
      <c r="A23" s="217"/>
      <c r="B23" s="1413" t="s">
        <v>35</v>
      </c>
      <c r="C23" s="1308" t="s">
        <v>176</v>
      </c>
      <c r="D23" s="1399">
        <v>2</v>
      </c>
      <c r="E23" s="1414"/>
      <c r="F23" s="1415">
        <v>5.4</v>
      </c>
      <c r="G23" s="1401">
        <v>0.10800000000000001</v>
      </c>
      <c r="H23" s="1198"/>
      <c r="I23" s="1402">
        <v>0</v>
      </c>
      <c r="J23" s="1403">
        <v>0.10800000000000001</v>
      </c>
      <c r="K23" s="1396"/>
      <c r="L23" s="1402">
        <v>0</v>
      </c>
      <c r="M23" s="1403">
        <v>0.10800000000000001</v>
      </c>
      <c r="N23" s="1396"/>
      <c r="O23" s="1402">
        <v>0</v>
      </c>
      <c r="P23" s="1404">
        <v>0.10800000000000001</v>
      </c>
      <c r="Q23" s="1396"/>
      <c r="R23" s="1402">
        <v>0</v>
      </c>
      <c r="S23" s="1404">
        <v>0.10800000000000001</v>
      </c>
      <c r="T23" s="1396"/>
      <c r="U23" s="1402">
        <v>0</v>
      </c>
      <c r="V23" s="1404">
        <v>0.10800000000000001</v>
      </c>
      <c r="W23" s="1396"/>
      <c r="X23" s="1402">
        <v>7.2000000000000008E-2</v>
      </c>
      <c r="Y23" s="1404">
        <v>0.18000000000000002</v>
      </c>
      <c r="Z23" s="1396"/>
      <c r="AA23" s="1402">
        <v>0</v>
      </c>
      <c r="AB23" s="1404">
        <v>0.18000000000000002</v>
      </c>
      <c r="AC23" s="1396"/>
      <c r="AD23" s="1402">
        <v>0.05</v>
      </c>
      <c r="AE23" s="1404">
        <v>0.23000000000000004</v>
      </c>
      <c r="AF23" s="1396"/>
      <c r="AG23" s="1402">
        <v>0.13400000000000001</v>
      </c>
      <c r="AH23" s="1404">
        <v>0.36400000000000005</v>
      </c>
      <c r="AI23" s="1396"/>
      <c r="AJ23" s="1402">
        <v>0.14069999999999999</v>
      </c>
      <c r="AK23" s="1404">
        <v>0.50470000000000004</v>
      </c>
      <c r="AL23" s="1396"/>
      <c r="AM23" s="1402">
        <v>0</v>
      </c>
      <c r="AN23" s="1404">
        <v>0.50470000000000004</v>
      </c>
      <c r="AO23" s="1396"/>
      <c r="AP23" s="1402">
        <v>0</v>
      </c>
      <c r="AQ23" s="1404">
        <v>0.50470000000000004</v>
      </c>
    </row>
    <row r="24" spans="1:44">
      <c r="A24" s="217"/>
      <c r="B24" s="1413" t="s">
        <v>36</v>
      </c>
      <c r="C24" s="1308" t="s">
        <v>177</v>
      </c>
      <c r="D24" s="1399">
        <v>2</v>
      </c>
      <c r="E24" s="1414"/>
      <c r="F24" s="1415">
        <v>4.5</v>
      </c>
      <c r="G24" s="1401">
        <v>0.09</v>
      </c>
      <c r="H24" s="1198"/>
      <c r="I24" s="1402">
        <v>0</v>
      </c>
      <c r="J24" s="1403">
        <v>0.09</v>
      </c>
      <c r="K24" s="1396"/>
      <c r="L24" s="1402">
        <v>0</v>
      </c>
      <c r="M24" s="1403">
        <v>0.09</v>
      </c>
      <c r="N24" s="1396"/>
      <c r="O24" s="1402">
        <v>0</v>
      </c>
      <c r="P24" s="1404">
        <v>0.09</v>
      </c>
      <c r="Q24" s="1396"/>
      <c r="R24" s="1402">
        <v>0</v>
      </c>
      <c r="S24" s="1404">
        <v>0.09</v>
      </c>
      <c r="T24" s="1396"/>
      <c r="U24" s="1402">
        <v>0</v>
      </c>
      <c r="V24" s="1404">
        <v>0.09</v>
      </c>
      <c r="W24" s="1396"/>
      <c r="X24" s="1402">
        <v>1.7999999999999999E-2</v>
      </c>
      <c r="Y24" s="1404">
        <v>0.108</v>
      </c>
      <c r="Z24" s="1396"/>
      <c r="AA24" s="1402">
        <v>0</v>
      </c>
      <c r="AB24" s="1404">
        <v>0.108</v>
      </c>
      <c r="AC24" s="1396"/>
      <c r="AD24" s="1402">
        <v>3.5999999999999997E-2</v>
      </c>
      <c r="AE24" s="1404">
        <v>0.14399999999999999</v>
      </c>
      <c r="AF24" s="1396"/>
      <c r="AG24" s="1402">
        <v>0.17600000000000002</v>
      </c>
      <c r="AH24" s="1404">
        <v>0.32</v>
      </c>
      <c r="AI24" s="1396"/>
      <c r="AJ24" s="1402">
        <v>0.18479999999999999</v>
      </c>
      <c r="AK24" s="1404">
        <v>0.50480000000000003</v>
      </c>
      <c r="AL24" s="1396"/>
      <c r="AM24" s="1402">
        <v>0</v>
      </c>
      <c r="AN24" s="1404">
        <v>0.50480000000000003</v>
      </c>
      <c r="AO24" s="1396"/>
      <c r="AP24" s="1402">
        <v>0</v>
      </c>
      <c r="AQ24" s="1404">
        <v>0.50480000000000003</v>
      </c>
    </row>
    <row r="25" spans="1:44">
      <c r="A25" s="217"/>
      <c r="B25" s="1413" t="s">
        <v>37</v>
      </c>
      <c r="C25" s="1308" t="s">
        <v>178</v>
      </c>
      <c r="D25" s="1399">
        <v>2</v>
      </c>
      <c r="E25" s="1414"/>
      <c r="F25" s="1415">
        <v>4.5</v>
      </c>
      <c r="G25" s="1401">
        <v>0.09</v>
      </c>
      <c r="H25" s="1198"/>
      <c r="I25" s="1402">
        <v>0</v>
      </c>
      <c r="J25" s="1403">
        <v>0.09</v>
      </c>
      <c r="K25" s="1396"/>
      <c r="L25" s="1402">
        <v>0</v>
      </c>
      <c r="M25" s="1403">
        <v>0.09</v>
      </c>
      <c r="N25" s="1396"/>
      <c r="O25" s="1402">
        <v>0</v>
      </c>
      <c r="P25" s="1404">
        <v>0.09</v>
      </c>
      <c r="Q25" s="1396"/>
      <c r="R25" s="1402">
        <v>0</v>
      </c>
      <c r="S25" s="1404">
        <v>0.09</v>
      </c>
      <c r="T25" s="1396"/>
      <c r="U25" s="1402">
        <v>0</v>
      </c>
      <c r="V25" s="1404">
        <v>0.09</v>
      </c>
      <c r="W25" s="1396"/>
      <c r="X25" s="1402">
        <v>1.4999999999999999E-2</v>
      </c>
      <c r="Y25" s="1404">
        <v>0.105</v>
      </c>
      <c r="Z25" s="1396"/>
      <c r="AA25" s="1402">
        <v>0</v>
      </c>
      <c r="AB25" s="1404">
        <v>0.105</v>
      </c>
      <c r="AC25" s="1396"/>
      <c r="AD25" s="1402">
        <v>0</v>
      </c>
      <c r="AE25" s="1404">
        <v>0.105</v>
      </c>
      <c r="AF25" s="1396"/>
      <c r="AG25" s="1402">
        <v>0</v>
      </c>
      <c r="AH25" s="1404">
        <v>0.105</v>
      </c>
      <c r="AI25" s="1396"/>
      <c r="AJ25" s="1402">
        <v>0</v>
      </c>
      <c r="AK25" s="1404">
        <v>0.105</v>
      </c>
      <c r="AL25" s="1396"/>
      <c r="AM25" s="1402">
        <v>0</v>
      </c>
      <c r="AN25" s="1404">
        <v>0.105</v>
      </c>
      <c r="AO25" s="1396"/>
      <c r="AP25" s="1402">
        <v>0</v>
      </c>
      <c r="AQ25" s="1404">
        <v>0.105</v>
      </c>
    </row>
    <row r="26" spans="1:44">
      <c r="A26" s="217"/>
      <c r="B26" s="1413" t="s">
        <v>38</v>
      </c>
      <c r="C26" s="1308" t="s">
        <v>18</v>
      </c>
      <c r="D26" s="1399">
        <v>3</v>
      </c>
      <c r="E26" s="1414"/>
      <c r="F26" s="1415">
        <v>6.9</v>
      </c>
      <c r="G26" s="1401">
        <v>0.20700000000000002</v>
      </c>
      <c r="H26" s="1198"/>
      <c r="I26" s="1402">
        <v>0</v>
      </c>
      <c r="J26" s="1403">
        <v>0.20700000000000002</v>
      </c>
      <c r="K26" s="1396"/>
      <c r="L26" s="1402">
        <v>0</v>
      </c>
      <c r="M26" s="1403">
        <v>0.20700000000000002</v>
      </c>
      <c r="N26" s="1396"/>
      <c r="O26" s="1402">
        <v>0</v>
      </c>
      <c r="P26" s="1404">
        <v>0.20700000000000002</v>
      </c>
      <c r="Q26" s="1396"/>
      <c r="R26" s="1402">
        <v>0</v>
      </c>
      <c r="S26" s="1404">
        <v>0.20700000000000002</v>
      </c>
      <c r="T26" s="1396"/>
      <c r="U26" s="1402">
        <v>0</v>
      </c>
      <c r="V26" s="1404">
        <v>0.20700000000000002</v>
      </c>
      <c r="W26" s="1396"/>
      <c r="X26" s="1402">
        <v>0.33</v>
      </c>
      <c r="Y26" s="1404">
        <v>0.53700000000000003</v>
      </c>
      <c r="Z26" s="1396"/>
      <c r="AA26" s="1402">
        <v>0</v>
      </c>
      <c r="AB26" s="1404">
        <v>0.53700000000000003</v>
      </c>
      <c r="AC26" s="1396"/>
      <c r="AD26" s="1402">
        <v>0</v>
      </c>
      <c r="AE26" s="1404">
        <v>0.53700000000000003</v>
      </c>
      <c r="AF26" s="1396"/>
      <c r="AG26" s="1402">
        <v>0.21450000000000002</v>
      </c>
      <c r="AH26" s="1404">
        <v>0.75150000000000006</v>
      </c>
      <c r="AI26" s="1396"/>
      <c r="AJ26" s="1402">
        <v>0.22522500000000001</v>
      </c>
      <c r="AK26" s="1404">
        <v>0.97672500000000007</v>
      </c>
      <c r="AL26" s="1396"/>
      <c r="AM26" s="1402">
        <v>0</v>
      </c>
      <c r="AN26" s="1404">
        <v>0.97672500000000007</v>
      </c>
      <c r="AO26" s="1396"/>
      <c r="AP26" s="1402">
        <v>0</v>
      </c>
      <c r="AQ26" s="1404">
        <v>0.97672500000000007</v>
      </c>
    </row>
    <row r="27" spans="1:44" ht="15.75" thickBot="1">
      <c r="A27" s="217"/>
      <c r="B27" s="1424"/>
      <c r="C27" s="1329" t="s">
        <v>6</v>
      </c>
      <c r="D27" s="1407">
        <v>15</v>
      </c>
      <c r="E27" s="1425"/>
      <c r="F27" s="1426"/>
      <c r="G27" s="1427">
        <v>1.3950000000000002</v>
      </c>
      <c r="H27" s="1198"/>
      <c r="I27" s="1428"/>
      <c r="J27" s="1429">
        <v>1.3950000000000002</v>
      </c>
      <c r="K27" s="1396"/>
      <c r="L27" s="1428"/>
      <c r="M27" s="1429">
        <v>1.3950000000000002</v>
      </c>
      <c r="N27" s="1396"/>
      <c r="O27" s="1428">
        <v>0.14649999999999999</v>
      </c>
      <c r="P27" s="1429">
        <v>1.5415000000000003</v>
      </c>
      <c r="Q27" s="1396"/>
      <c r="R27" s="1428">
        <v>0.37</v>
      </c>
      <c r="S27" s="1429">
        <v>1.9115000000000002</v>
      </c>
      <c r="T27" s="1396"/>
      <c r="U27" s="1428">
        <v>0.2</v>
      </c>
      <c r="V27" s="1429">
        <v>2.1114999999999999</v>
      </c>
      <c r="W27" s="1396"/>
      <c r="X27" s="1428">
        <v>1.2549999999999999</v>
      </c>
      <c r="Y27" s="1429">
        <v>3.3664999999999998</v>
      </c>
      <c r="Z27" s="1396"/>
      <c r="AA27" s="1428">
        <v>1.3000000000000001E-2</v>
      </c>
      <c r="AB27" s="1429">
        <v>3.3794999999999997</v>
      </c>
      <c r="AC27" s="1396"/>
      <c r="AD27" s="1428">
        <v>0.33599999999999997</v>
      </c>
      <c r="AE27" s="1429">
        <v>3.7154999999999996</v>
      </c>
      <c r="AF27" s="1396"/>
      <c r="AG27" s="1428">
        <v>1.0635000000000001</v>
      </c>
      <c r="AH27" s="1429">
        <v>4.778999999999999</v>
      </c>
      <c r="AI27" s="1396"/>
      <c r="AJ27" s="1428">
        <v>1.1166749999999999</v>
      </c>
      <c r="AK27" s="1429">
        <v>5.8956750000000007</v>
      </c>
      <c r="AL27" s="1396"/>
      <c r="AM27" s="1428">
        <v>0</v>
      </c>
      <c r="AN27" s="1429">
        <v>5.8956750000000007</v>
      </c>
      <c r="AO27" s="1396"/>
      <c r="AP27" s="1428">
        <v>0</v>
      </c>
      <c r="AQ27" s="1429">
        <v>5.8956750000000007</v>
      </c>
      <c r="AR27" s="1009"/>
    </row>
    <row r="28" spans="1:44" ht="15.75" thickTop="1">
      <c r="A28" s="217"/>
      <c r="B28" s="1655" t="s">
        <v>225</v>
      </c>
      <c r="C28" s="1430" t="s">
        <v>221</v>
      </c>
      <c r="D28" s="1431">
        <v>30</v>
      </c>
      <c r="E28" s="1414"/>
      <c r="F28" s="1432"/>
      <c r="G28" s="1433">
        <v>1.5883400000000003</v>
      </c>
      <c r="H28" s="1198"/>
      <c r="I28" s="1434"/>
      <c r="J28" s="1435">
        <v>2.1103310064</v>
      </c>
      <c r="K28" s="1436"/>
      <c r="L28" s="1434"/>
      <c r="M28" s="1437">
        <v>2.3358966300000001</v>
      </c>
      <c r="N28" s="1436"/>
      <c r="O28" s="1434">
        <v>0.81109017999999988</v>
      </c>
      <c r="P28" s="1435">
        <v>3.14698681</v>
      </c>
      <c r="Q28" s="1436"/>
      <c r="R28" s="1434">
        <v>1.32585</v>
      </c>
      <c r="S28" s="1435">
        <v>4.4728368099999996</v>
      </c>
      <c r="T28" s="1436"/>
      <c r="U28" s="1434">
        <v>2.2122000000000002</v>
      </c>
      <c r="V28" s="1435">
        <v>6.6850368100000006</v>
      </c>
      <c r="W28" s="1436"/>
      <c r="X28" s="1434">
        <v>2.4377333333333331</v>
      </c>
      <c r="Y28" s="1435">
        <v>9.1227701433333337</v>
      </c>
      <c r="Z28" s="1436"/>
      <c r="AA28" s="1434">
        <v>2.4333333333333334E-3</v>
      </c>
      <c r="AB28" s="1435">
        <v>9.1252034766666661</v>
      </c>
      <c r="AC28" s="1436"/>
      <c r="AD28" s="1434">
        <v>5.4900000000000004E-2</v>
      </c>
      <c r="AE28" s="1435">
        <v>9.180103476666666</v>
      </c>
      <c r="AF28" s="1436"/>
      <c r="AG28" s="1434">
        <v>0.41276861111111113</v>
      </c>
      <c r="AH28" s="1435">
        <v>9.592872087777776</v>
      </c>
      <c r="AI28" s="1436"/>
      <c r="AJ28" s="1434">
        <v>0.43340704166666666</v>
      </c>
      <c r="AK28" s="1435">
        <v>10.026279129444443</v>
      </c>
      <c r="AL28" s="1436"/>
      <c r="AM28" s="1434">
        <v>0</v>
      </c>
      <c r="AN28" s="1435">
        <v>10.026279129444443</v>
      </c>
      <c r="AO28" s="1436"/>
      <c r="AP28" s="1434">
        <v>0</v>
      </c>
      <c r="AQ28" s="1435">
        <v>10.026279129444443</v>
      </c>
    </row>
    <row r="29" spans="1:44">
      <c r="A29" s="217"/>
      <c r="B29" s="1656"/>
      <c r="C29" s="1438" t="s">
        <v>222</v>
      </c>
      <c r="D29" s="1399">
        <v>14</v>
      </c>
      <c r="E29" s="1414"/>
      <c r="F29" s="1400"/>
      <c r="G29" s="1439">
        <v>2.2935000000000003</v>
      </c>
      <c r="H29" s="1198"/>
      <c r="I29" s="1402"/>
      <c r="J29" s="1404">
        <v>2.534675</v>
      </c>
      <c r="K29" s="1396"/>
      <c r="L29" s="1402"/>
      <c r="M29" s="1403">
        <v>2.6822250000000003</v>
      </c>
      <c r="N29" s="1396"/>
      <c r="O29" s="1402">
        <v>0.42272500000000002</v>
      </c>
      <c r="P29" s="1404">
        <v>3.1049500000000001</v>
      </c>
      <c r="Q29" s="1396"/>
      <c r="R29" s="1402">
        <v>1.9334375000000001</v>
      </c>
      <c r="S29" s="1404">
        <v>5.0383875000000007</v>
      </c>
      <c r="T29" s="1396"/>
      <c r="U29" s="1402">
        <v>0.54299999999999993</v>
      </c>
      <c r="V29" s="1404">
        <v>5.5813874999999999</v>
      </c>
      <c r="W29" s="1396"/>
      <c r="X29" s="1402">
        <v>0.2289934210526316</v>
      </c>
      <c r="Y29" s="1404">
        <v>5.8103809210526318</v>
      </c>
      <c r="Z29" s="1396"/>
      <c r="AA29" s="1402">
        <v>9.0111842105263171E-3</v>
      </c>
      <c r="AB29" s="1404">
        <v>5.8193921052631579</v>
      </c>
      <c r="AC29" s="1396"/>
      <c r="AD29" s="1402">
        <v>0.10142763157894735</v>
      </c>
      <c r="AE29" s="1404">
        <v>5.9208197368421054</v>
      </c>
      <c r="AF29" s="1396"/>
      <c r="AG29" s="1402">
        <v>1.2810141666666666</v>
      </c>
      <c r="AH29" s="1404">
        <v>7.2018339035087724</v>
      </c>
      <c r="AI29" s="1396"/>
      <c r="AJ29" s="1402">
        <v>1.3450648749999998</v>
      </c>
      <c r="AK29" s="1404">
        <v>8.5468987785087709</v>
      </c>
      <c r="AL29" s="1396"/>
      <c r="AM29" s="1402">
        <v>0</v>
      </c>
      <c r="AN29" s="1404">
        <v>8.5468987785087709</v>
      </c>
      <c r="AO29" s="1396"/>
      <c r="AP29" s="1402">
        <v>0</v>
      </c>
      <c r="AQ29" s="1404">
        <v>8.5468987785087709</v>
      </c>
    </row>
    <row r="30" spans="1:44">
      <c r="A30" s="217"/>
      <c r="B30" s="1657"/>
      <c r="C30" s="1438" t="s">
        <v>223</v>
      </c>
      <c r="D30" s="1440">
        <v>15</v>
      </c>
      <c r="E30" s="1441"/>
      <c r="F30" s="1442"/>
      <c r="G30" s="1443">
        <v>1.3950000000000002</v>
      </c>
      <c r="H30" s="1198"/>
      <c r="I30" s="1444"/>
      <c r="J30" s="1445">
        <v>1.3950000000000002</v>
      </c>
      <c r="K30" s="1396"/>
      <c r="L30" s="1444"/>
      <c r="M30" s="1403">
        <v>1.3950000000000002</v>
      </c>
      <c r="N30" s="1396"/>
      <c r="O30" s="1402">
        <v>0.14649999999999999</v>
      </c>
      <c r="P30" s="1404">
        <v>1.5415000000000003</v>
      </c>
      <c r="Q30" s="1396"/>
      <c r="R30" s="1402">
        <v>0.37</v>
      </c>
      <c r="S30" s="1404">
        <v>1.9115000000000002</v>
      </c>
      <c r="T30" s="1396"/>
      <c r="U30" s="1402">
        <v>0.2</v>
      </c>
      <c r="V30" s="1404">
        <v>2.1114999999999999</v>
      </c>
      <c r="W30" s="1396"/>
      <c r="X30" s="1402">
        <v>1.2549999999999999</v>
      </c>
      <c r="Y30" s="1404">
        <v>3.3664999999999998</v>
      </c>
      <c r="Z30" s="1396"/>
      <c r="AA30" s="1402">
        <v>1.3000000000000001E-2</v>
      </c>
      <c r="AB30" s="1404">
        <v>3.3794999999999997</v>
      </c>
      <c r="AC30" s="1396"/>
      <c r="AD30" s="1402">
        <v>0.33599999999999997</v>
      </c>
      <c r="AE30" s="1404">
        <v>3.7154999999999996</v>
      </c>
      <c r="AF30" s="1396"/>
      <c r="AG30" s="1402">
        <v>1.0635000000000001</v>
      </c>
      <c r="AH30" s="1404">
        <v>4.778999999999999</v>
      </c>
      <c r="AI30" s="1396"/>
      <c r="AJ30" s="1402">
        <v>1.1166749999999999</v>
      </c>
      <c r="AK30" s="1404">
        <v>5.8956750000000007</v>
      </c>
      <c r="AL30" s="1396"/>
      <c r="AM30" s="1402">
        <v>0</v>
      </c>
      <c r="AN30" s="1404">
        <v>5.8956750000000007</v>
      </c>
      <c r="AO30" s="1396"/>
      <c r="AP30" s="1402">
        <v>0</v>
      </c>
      <c r="AQ30" s="1404">
        <v>5.8956750000000007</v>
      </c>
    </row>
    <row r="31" spans="1:44" ht="15.75" thickBot="1">
      <c r="B31" s="1633" t="s">
        <v>238</v>
      </c>
      <c r="C31" s="1634"/>
      <c r="D31" s="820">
        <v>59</v>
      </c>
      <c r="E31" s="819"/>
      <c r="F31" s="814"/>
      <c r="G31" s="231">
        <v>5.2768400000000009</v>
      </c>
      <c r="H31" s="823"/>
      <c r="I31" s="233"/>
      <c r="J31" s="234">
        <v>6.0400060064000005</v>
      </c>
      <c r="K31" s="824"/>
      <c r="L31" s="233"/>
      <c r="M31" s="234">
        <v>6.4131216300000009</v>
      </c>
      <c r="N31" s="824"/>
      <c r="O31" s="233">
        <v>1.3803151799999998</v>
      </c>
      <c r="P31" s="234">
        <v>7.7934368100000011</v>
      </c>
      <c r="Q31" s="824"/>
      <c r="R31" s="233">
        <v>3.6292875000000002</v>
      </c>
      <c r="S31" s="234">
        <v>11.42272431</v>
      </c>
      <c r="T31" s="824"/>
      <c r="U31" s="233">
        <v>2.9552</v>
      </c>
      <c r="V31" s="234">
        <v>14.377924310000001</v>
      </c>
      <c r="W31" s="824"/>
      <c r="X31" s="233">
        <v>3.9217267543859649</v>
      </c>
      <c r="Y31" s="234">
        <v>18.299651064385966</v>
      </c>
      <c r="Z31" s="824"/>
      <c r="AA31" s="233">
        <v>2.4444517543859651E-2</v>
      </c>
      <c r="AB31" s="234">
        <v>18.324095581929825</v>
      </c>
      <c r="AC31" s="824"/>
      <c r="AD31" s="233">
        <v>0.49232763157894732</v>
      </c>
      <c r="AE31" s="234">
        <v>18.81642321350877</v>
      </c>
      <c r="AF31" s="824"/>
      <c r="AG31" s="233">
        <v>2.7572827777777777</v>
      </c>
      <c r="AH31" s="234">
        <v>21.573705991286545</v>
      </c>
      <c r="AI31" s="824"/>
      <c r="AJ31" s="233">
        <v>2.8951469166666666</v>
      </c>
      <c r="AK31" s="234">
        <v>24.468852907953213</v>
      </c>
      <c r="AL31" s="824"/>
      <c r="AM31" s="233">
        <v>0</v>
      </c>
      <c r="AN31" s="234">
        <v>24.468852907953213</v>
      </c>
      <c r="AO31" s="824"/>
      <c r="AP31" s="233">
        <v>0</v>
      </c>
      <c r="AQ31" s="234">
        <v>24.468852907953213</v>
      </c>
      <c r="AR31" s="1011"/>
    </row>
    <row r="32" spans="1:44" ht="0.95" customHeight="1" thickTop="1" thickBot="1">
      <c r="B32" s="815"/>
      <c r="C32" s="825"/>
      <c r="D32" s="821"/>
      <c r="E32" s="223"/>
      <c r="F32" s="815"/>
      <c r="G32" s="816"/>
      <c r="H32" s="223"/>
      <c r="I32" s="235"/>
      <c r="J32" s="236"/>
      <c r="K32" s="826"/>
      <c r="L32" s="235"/>
      <c r="M32" s="236"/>
      <c r="N32" s="826"/>
      <c r="O32" s="235"/>
      <c r="P32" s="236"/>
      <c r="Q32" s="826"/>
      <c r="R32" s="235"/>
      <c r="S32" s="236"/>
      <c r="T32" s="826"/>
      <c r="U32" s="235"/>
      <c r="V32" s="236"/>
      <c r="W32" s="826"/>
      <c r="X32" s="235"/>
      <c r="Y32" s="236"/>
      <c r="Z32" s="826"/>
      <c r="AA32" s="235"/>
      <c r="AB32" s="236"/>
      <c r="AC32" s="826"/>
      <c r="AD32" s="235"/>
      <c r="AE32" s="236"/>
      <c r="AF32" s="826"/>
      <c r="AG32" s="235"/>
      <c r="AH32" s="236"/>
      <c r="AI32" s="826"/>
      <c r="AJ32" s="235"/>
      <c r="AK32" s="236"/>
      <c r="AL32" s="826"/>
      <c r="AM32" s="235"/>
      <c r="AN32" s="236"/>
      <c r="AO32" s="826"/>
      <c r="AP32" s="235"/>
      <c r="AQ32" s="236"/>
    </row>
    <row r="33" spans="1:44" ht="15.75" thickTop="1">
      <c r="B33" s="1446" t="s">
        <v>237</v>
      </c>
      <c r="C33" s="1447"/>
      <c r="D33" s="1448"/>
      <c r="E33" s="1449"/>
      <c r="F33" s="1658">
        <v>2020</v>
      </c>
      <c r="G33" s="1659"/>
      <c r="H33" s="933"/>
      <c r="I33" s="1662">
        <v>44197</v>
      </c>
      <c r="J33" s="1663"/>
      <c r="K33" s="1460"/>
      <c r="L33" s="1662">
        <v>44228</v>
      </c>
      <c r="M33" s="1663"/>
      <c r="N33" s="1460"/>
      <c r="O33" s="1662">
        <v>44256</v>
      </c>
      <c r="P33" s="1663"/>
      <c r="Q33" s="1460"/>
      <c r="R33" s="1662">
        <v>44287</v>
      </c>
      <c r="S33" s="1663"/>
      <c r="T33" s="1460"/>
      <c r="U33" s="1662">
        <v>44317</v>
      </c>
      <c r="V33" s="1663"/>
      <c r="W33" s="1460"/>
      <c r="X33" s="1662">
        <v>44348</v>
      </c>
      <c r="Y33" s="1663"/>
      <c r="Z33" s="1460"/>
      <c r="AA33" s="1662">
        <v>44378</v>
      </c>
      <c r="AB33" s="1663"/>
      <c r="AC33" s="1460"/>
      <c r="AD33" s="1662">
        <v>44409</v>
      </c>
      <c r="AE33" s="1663"/>
      <c r="AF33" s="1460"/>
      <c r="AG33" s="1662">
        <v>44440</v>
      </c>
      <c r="AH33" s="1663"/>
      <c r="AI33" s="1460"/>
      <c r="AJ33" s="1662">
        <v>44470</v>
      </c>
      <c r="AK33" s="1663"/>
      <c r="AL33" s="1460"/>
      <c r="AM33" s="1662">
        <v>44501</v>
      </c>
      <c r="AN33" s="1663"/>
      <c r="AO33" s="1460"/>
      <c r="AP33" s="1662">
        <v>44531</v>
      </c>
      <c r="AQ33" s="1663"/>
    </row>
    <row r="34" spans="1:44">
      <c r="B34" s="1635" t="s">
        <v>0</v>
      </c>
      <c r="C34" s="1636"/>
      <c r="D34" s="1637"/>
      <c r="E34" s="1450"/>
      <c r="F34" s="1451" t="s">
        <v>240</v>
      </c>
      <c r="G34" s="1452" t="s">
        <v>227</v>
      </c>
      <c r="H34" s="935"/>
      <c r="I34" s="1453" t="s">
        <v>247</v>
      </c>
      <c r="J34" s="1454" t="s">
        <v>246</v>
      </c>
      <c r="K34" s="936"/>
      <c r="L34" s="1453" t="s">
        <v>247</v>
      </c>
      <c r="M34" s="1454" t="s">
        <v>246</v>
      </c>
      <c r="N34" s="936"/>
      <c r="O34" s="1455" t="s">
        <v>247</v>
      </c>
      <c r="P34" s="1456" t="s">
        <v>246</v>
      </c>
      <c r="Q34" s="936"/>
      <c r="R34" s="1453" t="s">
        <v>247</v>
      </c>
      <c r="S34" s="1454" t="s">
        <v>246</v>
      </c>
      <c r="T34" s="936"/>
      <c r="U34" s="1453" t="s">
        <v>247</v>
      </c>
      <c r="V34" s="1454" t="s">
        <v>246</v>
      </c>
      <c r="W34" s="936"/>
      <c r="X34" s="1453" t="s">
        <v>247</v>
      </c>
      <c r="Y34" s="1454" t="s">
        <v>246</v>
      </c>
      <c r="Z34" s="936"/>
      <c r="AA34" s="1453" t="s">
        <v>247</v>
      </c>
      <c r="AB34" s="1454" t="s">
        <v>246</v>
      </c>
      <c r="AC34" s="936"/>
      <c r="AD34" s="1453" t="s">
        <v>247</v>
      </c>
      <c r="AE34" s="1454" t="s">
        <v>246</v>
      </c>
      <c r="AF34" s="936"/>
      <c r="AG34" s="1453" t="s">
        <v>247</v>
      </c>
      <c r="AH34" s="1454" t="s">
        <v>246</v>
      </c>
      <c r="AI34" s="936"/>
      <c r="AJ34" s="1453" t="s">
        <v>247</v>
      </c>
      <c r="AK34" s="1454" t="s">
        <v>246</v>
      </c>
      <c r="AL34" s="936"/>
      <c r="AM34" s="1453" t="s">
        <v>247</v>
      </c>
      <c r="AN34" s="1454" t="s">
        <v>246</v>
      </c>
      <c r="AO34" s="936"/>
      <c r="AP34" s="1453" t="s">
        <v>247</v>
      </c>
      <c r="AQ34" s="1454" t="s">
        <v>246</v>
      </c>
    </row>
    <row r="35" spans="1:44" ht="27" customHeight="1">
      <c r="B35" s="1158" t="s">
        <v>19</v>
      </c>
      <c r="C35" s="191" t="s">
        <v>55</v>
      </c>
      <c r="D35" s="1399">
        <v>15</v>
      </c>
      <c r="E35" s="1414"/>
      <c r="F35" s="1415">
        <v>10.06</v>
      </c>
      <c r="G35" s="1401">
        <v>1.5090000000000001</v>
      </c>
      <c r="H35" s="1198"/>
      <c r="I35" s="1461">
        <v>0.80062888888888883</v>
      </c>
      <c r="J35" s="1403">
        <v>2.3096288888888887</v>
      </c>
      <c r="K35" s="1396"/>
      <c r="L35" s="1461">
        <v>1.0349079166666666</v>
      </c>
      <c r="M35" s="1403">
        <v>2.5439079166666669</v>
      </c>
      <c r="N35" s="1396"/>
      <c r="O35" s="1402">
        <v>1.0883804444444445</v>
      </c>
      <c r="P35" s="1404">
        <v>3.6322883611111116</v>
      </c>
      <c r="Q35" s="1396"/>
      <c r="R35" s="1402">
        <v>0</v>
      </c>
      <c r="S35" s="1404">
        <v>3.6322883611111116</v>
      </c>
      <c r="T35" s="1396"/>
      <c r="U35" s="1402">
        <v>0</v>
      </c>
      <c r="V35" s="1404">
        <v>3.6322883611111116</v>
      </c>
      <c r="W35" s="1396"/>
      <c r="X35" s="1402">
        <v>1.6761545674603173</v>
      </c>
      <c r="Y35" s="1404">
        <v>5.308442928571429</v>
      </c>
      <c r="Z35" s="1396"/>
      <c r="AA35" s="1402">
        <v>0</v>
      </c>
      <c r="AB35" s="1404">
        <v>5.308442928571429</v>
      </c>
      <c r="AC35" s="1396"/>
      <c r="AD35" s="1402">
        <v>0</v>
      </c>
      <c r="AE35" s="1404">
        <v>5.308442928571429</v>
      </c>
      <c r="AF35" s="1396"/>
      <c r="AG35" s="1402">
        <v>2.7777777777777776E-2</v>
      </c>
      <c r="AH35" s="1404">
        <v>5.3362207063492066</v>
      </c>
      <c r="AI35" s="1396"/>
      <c r="AJ35" s="1402">
        <v>0</v>
      </c>
      <c r="AK35" s="1404">
        <v>5.3362207063492066</v>
      </c>
      <c r="AL35" s="1396"/>
      <c r="AM35" s="1402">
        <v>0</v>
      </c>
      <c r="AN35" s="1404">
        <v>5.3362207063492066</v>
      </c>
      <c r="AO35" s="1396"/>
      <c r="AP35" s="1402">
        <v>0</v>
      </c>
      <c r="AQ35" s="1404">
        <v>5.3362207063492066</v>
      </c>
    </row>
    <row r="36" spans="1:44" ht="15.75" thickBot="1">
      <c r="B36" s="1462"/>
      <c r="C36" s="1457" t="s">
        <v>113</v>
      </c>
      <c r="D36" s="1407">
        <v>15</v>
      </c>
      <c r="E36" s="1425"/>
      <c r="F36" s="1463"/>
      <c r="G36" s="1427">
        <v>1.5090000000000001E-2</v>
      </c>
      <c r="H36" s="1198"/>
      <c r="I36" s="1428"/>
      <c r="J36" s="1429">
        <v>2.3096288888888887</v>
      </c>
      <c r="K36" s="1396"/>
      <c r="L36" s="1428"/>
      <c r="M36" s="1429">
        <v>2.5439079166666669</v>
      </c>
      <c r="N36" s="1396"/>
      <c r="O36" s="1428">
        <v>1.0883804444444445</v>
      </c>
      <c r="P36" s="1429">
        <v>3.6322883611111116</v>
      </c>
      <c r="Q36" s="1396"/>
      <c r="R36" s="1428">
        <v>0</v>
      </c>
      <c r="S36" s="1429">
        <v>3.6322883611111116</v>
      </c>
      <c r="T36" s="1396"/>
      <c r="U36" s="1428">
        <v>0</v>
      </c>
      <c r="V36" s="1429">
        <v>3.6322883611111116</v>
      </c>
      <c r="W36" s="1396"/>
      <c r="X36" s="1428">
        <v>1.6761545674603173</v>
      </c>
      <c r="Y36" s="1429">
        <v>5.308442928571429</v>
      </c>
      <c r="Z36" s="1396"/>
      <c r="AA36" s="1428">
        <v>0</v>
      </c>
      <c r="AB36" s="1429">
        <v>5.308442928571429</v>
      </c>
      <c r="AC36" s="1396"/>
      <c r="AD36" s="1428">
        <v>0</v>
      </c>
      <c r="AE36" s="1429">
        <v>5.308442928571429</v>
      </c>
      <c r="AF36" s="1396"/>
      <c r="AG36" s="1428">
        <v>2.7777777777777776E-2</v>
      </c>
      <c r="AH36" s="1429">
        <v>5.3362207063492066</v>
      </c>
      <c r="AI36" s="1396"/>
      <c r="AJ36" s="1428">
        <v>0</v>
      </c>
      <c r="AK36" s="1429">
        <v>5.3362207063492066</v>
      </c>
      <c r="AL36" s="1396"/>
      <c r="AM36" s="1428">
        <v>0</v>
      </c>
      <c r="AN36" s="1429">
        <v>5.3362207063492066</v>
      </c>
      <c r="AO36" s="1396"/>
      <c r="AP36" s="1428">
        <v>0</v>
      </c>
      <c r="AQ36" s="1429">
        <v>5.3362207063492066</v>
      </c>
      <c r="AR36" s="1009"/>
    </row>
    <row r="37" spans="1:44">
      <c r="A37" s="217"/>
      <c r="B37" s="1638" t="s">
        <v>1</v>
      </c>
      <c r="C37" s="1639"/>
      <c r="D37" s="1640"/>
      <c r="E37" s="1378"/>
      <c r="F37" s="1379"/>
      <c r="G37" s="1380"/>
      <c r="H37" s="1198"/>
      <c r="I37" s="1458"/>
      <c r="J37" s="1382"/>
      <c r="K37" s="1396"/>
      <c r="L37" s="1458"/>
      <c r="M37" s="1382"/>
      <c r="N37" s="1396"/>
      <c r="O37" s="1381"/>
      <c r="P37" s="1395"/>
      <c r="Q37" s="1396"/>
      <c r="R37" s="1381"/>
      <c r="S37" s="1395"/>
      <c r="T37" s="1396"/>
      <c r="U37" s="1381"/>
      <c r="V37" s="1395"/>
      <c r="W37" s="1396"/>
      <c r="X37" s="1381"/>
      <c r="Y37" s="1395"/>
      <c r="Z37" s="1396"/>
      <c r="AA37" s="1381"/>
      <c r="AB37" s="1395"/>
      <c r="AC37" s="1396"/>
      <c r="AD37" s="1381"/>
      <c r="AE37" s="1395"/>
      <c r="AF37" s="1396"/>
      <c r="AG37" s="1381"/>
      <c r="AH37" s="1395"/>
      <c r="AI37" s="1396"/>
      <c r="AJ37" s="1381"/>
      <c r="AK37" s="1395"/>
      <c r="AL37" s="1396"/>
      <c r="AM37" s="1381"/>
      <c r="AN37" s="1395"/>
      <c r="AO37" s="1396"/>
      <c r="AP37" s="1381"/>
      <c r="AQ37" s="1395"/>
    </row>
    <row r="38" spans="1:44">
      <c r="A38" s="217"/>
      <c r="B38" s="1413" t="s">
        <v>28</v>
      </c>
      <c r="C38" s="1308" t="s">
        <v>179</v>
      </c>
      <c r="D38" s="1399">
        <v>3</v>
      </c>
      <c r="E38" s="1414"/>
      <c r="F38" s="1415">
        <v>12.1</v>
      </c>
      <c r="G38" s="1401">
        <v>0.36299999999999999</v>
      </c>
      <c r="H38" s="1198"/>
      <c r="I38" s="1461">
        <v>0.19400000000000003</v>
      </c>
      <c r="J38" s="1403">
        <v>0.55700000000000005</v>
      </c>
      <c r="K38" s="1396"/>
      <c r="L38" s="1461">
        <v>0.59555555555555562</v>
      </c>
      <c r="M38" s="1403">
        <v>0.95855555555555561</v>
      </c>
      <c r="N38" s="1396"/>
      <c r="O38" s="1402">
        <v>0.90605555555555573</v>
      </c>
      <c r="P38" s="1404">
        <v>1.8646111111111114</v>
      </c>
      <c r="Q38" s="1396"/>
      <c r="R38" s="1402">
        <v>6.9722222222222199E-2</v>
      </c>
      <c r="S38" s="1404">
        <v>1.9343333333333337</v>
      </c>
      <c r="T38" s="1396"/>
      <c r="U38" s="1402">
        <v>1.6111111111111111E-2</v>
      </c>
      <c r="V38" s="1404">
        <v>1.9504444444444449</v>
      </c>
      <c r="W38" s="1396"/>
      <c r="X38" s="1402">
        <v>0.1336111111111111</v>
      </c>
      <c r="Y38" s="1404">
        <v>2.084055555555556</v>
      </c>
      <c r="Z38" s="1396"/>
      <c r="AA38" s="1402">
        <v>5.5555555555555556E-4</v>
      </c>
      <c r="AB38" s="1404">
        <v>2.0846111111111116</v>
      </c>
      <c r="AC38" s="1396"/>
      <c r="AD38" s="1402">
        <v>8.1111111111111106E-3</v>
      </c>
      <c r="AE38" s="1404">
        <v>2.0927222222222226</v>
      </c>
      <c r="AF38" s="1396"/>
      <c r="AG38" s="1402">
        <v>0.16430555555555554</v>
      </c>
      <c r="AH38" s="1404">
        <v>2.2570277777777781</v>
      </c>
      <c r="AI38" s="1396"/>
      <c r="AJ38" s="1402">
        <v>0.17252083333333332</v>
      </c>
      <c r="AK38" s="1404">
        <v>2.4295486111111115</v>
      </c>
      <c r="AL38" s="1396"/>
      <c r="AM38" s="1402">
        <v>0</v>
      </c>
      <c r="AN38" s="1404">
        <v>2.4295486111111115</v>
      </c>
      <c r="AO38" s="1396"/>
      <c r="AP38" s="1402">
        <v>0</v>
      </c>
      <c r="AQ38" s="1404">
        <v>2.4295486111111115</v>
      </c>
    </row>
    <row r="39" spans="1:44">
      <c r="A39" s="217"/>
      <c r="B39" s="1413" t="s">
        <v>29</v>
      </c>
      <c r="C39" s="1308" t="s">
        <v>175</v>
      </c>
      <c r="D39" s="1399">
        <v>3</v>
      </c>
      <c r="E39" s="1414"/>
      <c r="F39" s="1415">
        <v>10</v>
      </c>
      <c r="G39" s="1401">
        <v>0.3</v>
      </c>
      <c r="H39" s="1198"/>
      <c r="I39" s="1461">
        <v>0.39</v>
      </c>
      <c r="J39" s="1403">
        <v>0.69</v>
      </c>
      <c r="K39" s="1396"/>
      <c r="L39" s="1461">
        <v>0.39</v>
      </c>
      <c r="M39" s="1403">
        <v>0.69</v>
      </c>
      <c r="N39" s="1396"/>
      <c r="O39" s="1402">
        <v>0.39</v>
      </c>
      <c r="P39" s="1404">
        <v>1.08</v>
      </c>
      <c r="Q39" s="1396"/>
      <c r="R39" s="1402">
        <v>0</v>
      </c>
      <c r="S39" s="1404">
        <v>1.08</v>
      </c>
      <c r="T39" s="1396"/>
      <c r="U39" s="1402">
        <v>0</v>
      </c>
      <c r="V39" s="1404">
        <v>1.08</v>
      </c>
      <c r="W39" s="1396"/>
      <c r="X39" s="1402">
        <v>0.105</v>
      </c>
      <c r="Y39" s="1404">
        <v>1.1850000000000001</v>
      </c>
      <c r="Z39" s="1396"/>
      <c r="AA39" s="1402">
        <v>0</v>
      </c>
      <c r="AB39" s="1404">
        <v>1.1850000000000001</v>
      </c>
      <c r="AC39" s="1396"/>
      <c r="AD39" s="1402">
        <v>0</v>
      </c>
      <c r="AE39" s="1404">
        <v>1.1850000000000001</v>
      </c>
      <c r="AF39" s="1396"/>
      <c r="AG39" s="1402">
        <v>4.2000000000000003E-2</v>
      </c>
      <c r="AH39" s="1404">
        <v>1.2270000000000001</v>
      </c>
      <c r="AI39" s="1396"/>
      <c r="AJ39" s="1402">
        <v>4.41E-2</v>
      </c>
      <c r="AK39" s="1404">
        <v>1.2711000000000001</v>
      </c>
      <c r="AL39" s="1396"/>
      <c r="AM39" s="1402">
        <v>0</v>
      </c>
      <c r="AN39" s="1404">
        <v>1.2711000000000001</v>
      </c>
      <c r="AO39" s="1396"/>
      <c r="AP39" s="1402">
        <v>0</v>
      </c>
      <c r="AQ39" s="1404">
        <v>1.2711000000000001</v>
      </c>
    </row>
    <row r="40" spans="1:44">
      <c r="A40" s="217"/>
      <c r="B40" s="1158"/>
      <c r="C40" s="1459" t="s">
        <v>5</v>
      </c>
      <c r="D40" s="1418">
        <v>6</v>
      </c>
      <c r="E40" s="1464"/>
      <c r="F40" s="1420"/>
      <c r="G40" s="1421">
        <v>0.66300000000000003</v>
      </c>
      <c r="H40" s="1198"/>
      <c r="I40" s="1465"/>
      <c r="J40" s="1466">
        <v>1.2469999999999999</v>
      </c>
      <c r="K40" s="1396"/>
      <c r="L40" s="1465"/>
      <c r="M40" s="1466">
        <v>1.6485555555555556</v>
      </c>
      <c r="N40" s="1396"/>
      <c r="O40" s="1467">
        <v>1.2960555555555557</v>
      </c>
      <c r="P40" s="1468">
        <v>2.9446111111111115</v>
      </c>
      <c r="Q40" s="1396"/>
      <c r="R40" s="1467">
        <v>6.9722222222222199E-2</v>
      </c>
      <c r="S40" s="1468">
        <v>3.014333333333334</v>
      </c>
      <c r="T40" s="1396"/>
      <c r="U40" s="1467">
        <v>1.6111111111111111E-2</v>
      </c>
      <c r="V40" s="1468">
        <v>3.0304444444444449</v>
      </c>
      <c r="W40" s="1396"/>
      <c r="X40" s="1467">
        <v>0.23861111111111111</v>
      </c>
      <c r="Y40" s="1468">
        <v>3.269055555555556</v>
      </c>
      <c r="Z40" s="1396"/>
      <c r="AA40" s="1467">
        <v>5.5555555555555556E-4</v>
      </c>
      <c r="AB40" s="1468">
        <v>3.2696111111111117</v>
      </c>
      <c r="AC40" s="1396"/>
      <c r="AD40" s="1467">
        <v>8.1111111111111106E-3</v>
      </c>
      <c r="AE40" s="1468">
        <v>3.2777222222222226</v>
      </c>
      <c r="AF40" s="1396"/>
      <c r="AG40" s="1467">
        <v>0.20630555555555555</v>
      </c>
      <c r="AH40" s="1468">
        <v>3.4840277777777784</v>
      </c>
      <c r="AI40" s="1396"/>
      <c r="AJ40" s="1467">
        <v>0.21662083333333332</v>
      </c>
      <c r="AK40" s="1468">
        <v>3.7006486111111117</v>
      </c>
      <c r="AL40" s="1396"/>
      <c r="AM40" s="1467">
        <v>0</v>
      </c>
      <c r="AN40" s="1468">
        <v>3.7006486111111117</v>
      </c>
      <c r="AO40" s="1396"/>
      <c r="AP40" s="1467">
        <v>0</v>
      </c>
      <c r="AQ40" s="1468">
        <v>3.7006486111111117</v>
      </c>
      <c r="AR40" s="1010"/>
    </row>
    <row r="41" spans="1:44" ht="15.75" thickBot="1">
      <c r="A41" s="217"/>
      <c r="B41" s="1633" t="s">
        <v>236</v>
      </c>
      <c r="C41" s="1634"/>
      <c r="D41" s="820">
        <v>21</v>
      </c>
      <c r="E41" s="819"/>
      <c r="F41" s="814" t="s">
        <v>4</v>
      </c>
      <c r="G41" s="231">
        <v>0.67809000000000008</v>
      </c>
      <c r="H41" s="823"/>
      <c r="I41" s="233" t="s">
        <v>4</v>
      </c>
      <c r="J41" s="234">
        <v>3.5566288888888886</v>
      </c>
      <c r="K41" s="824"/>
      <c r="L41" s="233" t="s">
        <v>4</v>
      </c>
      <c r="M41" s="234">
        <v>4.1924634722222223</v>
      </c>
      <c r="N41" s="824"/>
      <c r="O41" s="233">
        <v>2.384436</v>
      </c>
      <c r="P41" s="234">
        <v>6.5768994722222232</v>
      </c>
      <c r="Q41" s="824"/>
      <c r="R41" s="233">
        <v>6.9722222222222199E-2</v>
      </c>
      <c r="S41" s="234">
        <v>6.6466216944444456</v>
      </c>
      <c r="T41" s="824"/>
      <c r="U41" s="233">
        <v>1.6111111111111111E-2</v>
      </c>
      <c r="V41" s="234">
        <v>6.6627328055555566</v>
      </c>
      <c r="W41" s="824"/>
      <c r="X41" s="233">
        <v>1.9147656785714284</v>
      </c>
      <c r="Y41" s="234">
        <v>8.5774984841269841</v>
      </c>
      <c r="Z41" s="824"/>
      <c r="AA41" s="233">
        <v>5.5555555555555556E-4</v>
      </c>
      <c r="AB41" s="234">
        <v>8.5780540396825415</v>
      </c>
      <c r="AC41" s="824"/>
      <c r="AD41" s="233">
        <v>8.1111111111111106E-3</v>
      </c>
      <c r="AE41" s="234">
        <v>8.5861651507936507</v>
      </c>
      <c r="AF41" s="824"/>
      <c r="AG41" s="233">
        <v>0.23408333333333331</v>
      </c>
      <c r="AH41" s="234">
        <v>8.820248484126985</v>
      </c>
      <c r="AI41" s="824"/>
      <c r="AJ41" s="233">
        <v>0.21662083333333332</v>
      </c>
      <c r="AK41" s="234">
        <v>9.0368693174603187</v>
      </c>
      <c r="AL41" s="824"/>
      <c r="AM41" s="233">
        <v>0</v>
      </c>
      <c r="AN41" s="234">
        <v>9.0368693174603187</v>
      </c>
      <c r="AO41" s="824"/>
      <c r="AP41" s="233">
        <v>0</v>
      </c>
      <c r="AQ41" s="234">
        <v>9.0368693174603187</v>
      </c>
      <c r="AR41" s="1011"/>
    </row>
    <row r="42" spans="1:44" ht="0.95" customHeight="1" thickTop="1" thickBot="1">
      <c r="A42" s="217"/>
      <c r="B42" s="815"/>
      <c r="C42" s="825"/>
      <c r="D42" s="821"/>
      <c r="E42" s="223"/>
      <c r="F42" s="815"/>
      <c r="G42" s="816"/>
      <c r="H42" s="223"/>
      <c r="I42" s="235"/>
      <c r="J42" s="236"/>
      <c r="K42" s="826"/>
      <c r="L42" s="235"/>
      <c r="M42" s="236"/>
      <c r="N42" s="826"/>
      <c r="O42" s="235"/>
      <c r="P42" s="236"/>
      <c r="Q42" s="826"/>
      <c r="R42" s="235"/>
      <c r="S42" s="236"/>
      <c r="T42" s="826"/>
      <c r="U42" s="235"/>
      <c r="V42" s="236"/>
      <c r="W42" s="826"/>
      <c r="X42" s="235"/>
      <c r="Y42" s="236"/>
      <c r="Z42" s="826"/>
      <c r="AA42" s="235"/>
      <c r="AB42" s="236"/>
      <c r="AC42" s="826"/>
      <c r="AD42" s="235"/>
      <c r="AE42" s="236"/>
      <c r="AF42" s="826"/>
      <c r="AG42" s="235"/>
      <c r="AH42" s="236"/>
      <c r="AI42" s="826"/>
      <c r="AJ42" s="235"/>
      <c r="AK42" s="236"/>
      <c r="AL42" s="826"/>
      <c r="AM42" s="235"/>
      <c r="AN42" s="236"/>
      <c r="AO42" s="826"/>
      <c r="AP42" s="235"/>
      <c r="AQ42" s="236"/>
    </row>
    <row r="43" spans="1:44" ht="21" customHeight="1" thickTop="1">
      <c r="A43" s="217"/>
      <c r="B43" s="1469" t="s">
        <v>233</v>
      </c>
      <c r="C43" s="1470"/>
      <c r="D43" s="1471"/>
      <c r="E43" s="1472"/>
      <c r="F43" s="1658">
        <v>2020</v>
      </c>
      <c r="G43" s="1659"/>
      <c r="H43" s="933"/>
      <c r="I43" s="1662">
        <v>44197</v>
      </c>
      <c r="J43" s="1663"/>
      <c r="K43" s="1460"/>
      <c r="L43" s="1662">
        <v>44228</v>
      </c>
      <c r="M43" s="1663"/>
      <c r="N43" s="1460"/>
      <c r="O43" s="1662">
        <v>44256</v>
      </c>
      <c r="P43" s="1663"/>
      <c r="Q43" s="1460"/>
      <c r="R43" s="1662">
        <v>44287</v>
      </c>
      <c r="S43" s="1663"/>
      <c r="T43" s="1460"/>
      <c r="U43" s="1662">
        <v>44317</v>
      </c>
      <c r="V43" s="1663"/>
      <c r="W43" s="1460"/>
      <c r="X43" s="1662">
        <v>44348</v>
      </c>
      <c r="Y43" s="1663"/>
      <c r="Z43" s="1460"/>
      <c r="AA43" s="1662">
        <v>44378</v>
      </c>
      <c r="AB43" s="1663"/>
      <c r="AC43" s="1460"/>
      <c r="AD43" s="1662">
        <v>44409</v>
      </c>
      <c r="AE43" s="1663"/>
      <c r="AF43" s="1460"/>
      <c r="AG43" s="1662">
        <v>44440</v>
      </c>
      <c r="AH43" s="1663"/>
      <c r="AI43" s="1460"/>
      <c r="AJ43" s="1662">
        <v>44470</v>
      </c>
      <c r="AK43" s="1663"/>
      <c r="AL43" s="1460"/>
      <c r="AM43" s="1662">
        <v>44501</v>
      </c>
      <c r="AN43" s="1663"/>
      <c r="AO43" s="1460"/>
      <c r="AP43" s="1662">
        <v>44531</v>
      </c>
      <c r="AQ43" s="1663"/>
    </row>
    <row r="44" spans="1:44">
      <c r="A44" s="217"/>
      <c r="B44" s="1630" t="s">
        <v>0</v>
      </c>
      <c r="C44" s="1631"/>
      <c r="D44" s="1632"/>
      <c r="E44" s="1450"/>
      <c r="F44" s="1451" t="s">
        <v>240</v>
      </c>
      <c r="G44" s="1452" t="s">
        <v>227</v>
      </c>
      <c r="H44" s="935"/>
      <c r="I44" s="1453" t="s">
        <v>247</v>
      </c>
      <c r="J44" s="1454" t="s">
        <v>246</v>
      </c>
      <c r="K44" s="936"/>
      <c r="L44" s="1453" t="s">
        <v>247</v>
      </c>
      <c r="M44" s="1454" t="s">
        <v>246</v>
      </c>
      <c r="N44" s="936"/>
      <c r="O44" s="1453" t="s">
        <v>247</v>
      </c>
      <c r="P44" s="1454" t="s">
        <v>246</v>
      </c>
      <c r="Q44" s="936"/>
      <c r="R44" s="1453" t="s">
        <v>247</v>
      </c>
      <c r="S44" s="1454" t="s">
        <v>246</v>
      </c>
      <c r="T44" s="936"/>
      <c r="U44" s="1453" t="s">
        <v>247</v>
      </c>
      <c r="V44" s="1454" t="s">
        <v>246</v>
      </c>
      <c r="W44" s="936"/>
      <c r="X44" s="1453" t="s">
        <v>247</v>
      </c>
      <c r="Y44" s="1454" t="s">
        <v>246</v>
      </c>
      <c r="Z44" s="936"/>
      <c r="AA44" s="1453" t="s">
        <v>247</v>
      </c>
      <c r="AB44" s="1454" t="s">
        <v>246</v>
      </c>
      <c r="AC44" s="936"/>
      <c r="AD44" s="1453" t="s">
        <v>247</v>
      </c>
      <c r="AE44" s="1454" t="s">
        <v>246</v>
      </c>
      <c r="AF44" s="936"/>
      <c r="AG44" s="1453" t="s">
        <v>247</v>
      </c>
      <c r="AH44" s="1454" t="s">
        <v>246</v>
      </c>
      <c r="AI44" s="936"/>
      <c r="AJ44" s="1453" t="s">
        <v>247</v>
      </c>
      <c r="AK44" s="1454" t="s">
        <v>246</v>
      </c>
      <c r="AL44" s="936"/>
      <c r="AM44" s="1453" t="s">
        <v>247</v>
      </c>
      <c r="AN44" s="1454" t="s">
        <v>246</v>
      </c>
      <c r="AO44" s="936"/>
      <c r="AP44" s="1453" t="s">
        <v>247</v>
      </c>
      <c r="AQ44" s="1454" t="s">
        <v>246</v>
      </c>
    </row>
    <row r="45" spans="1:44" ht="25.5">
      <c r="A45" s="217"/>
      <c r="B45" s="449" t="s">
        <v>21</v>
      </c>
      <c r="C45" s="1271" t="s">
        <v>720</v>
      </c>
      <c r="D45" s="1399">
        <v>15</v>
      </c>
      <c r="E45" s="1391"/>
      <c r="F45" s="1400">
        <v>14.05</v>
      </c>
      <c r="G45" s="1401">
        <v>2.1074999999999999</v>
      </c>
      <c r="H45" s="1198"/>
      <c r="I45" s="1402">
        <v>0.32289299999999999</v>
      </c>
      <c r="J45" s="1403">
        <v>2.430393</v>
      </c>
      <c r="K45" s="1396"/>
      <c r="L45" s="1402">
        <v>0.47070749999999995</v>
      </c>
      <c r="M45" s="1473">
        <v>2.5782075</v>
      </c>
      <c r="N45" s="1396"/>
      <c r="O45" s="1402">
        <v>0.52674900000000002</v>
      </c>
      <c r="P45" s="1404">
        <v>3.1049565000000001</v>
      </c>
      <c r="Q45" s="1396"/>
      <c r="R45" s="1402">
        <v>1.40154</v>
      </c>
      <c r="S45" s="1404">
        <v>4.5064964999999999</v>
      </c>
      <c r="T45" s="1396"/>
      <c r="U45" s="1402">
        <v>0.5262</v>
      </c>
      <c r="V45" s="1404">
        <v>5.0326965000000001</v>
      </c>
      <c r="W45" s="1396"/>
      <c r="X45" s="1402">
        <v>0.56233350000000004</v>
      </c>
      <c r="Y45" s="1404">
        <v>5.5950300000000004</v>
      </c>
      <c r="Z45" s="1396"/>
      <c r="AA45" s="1402">
        <v>0.54415799999999992</v>
      </c>
      <c r="AB45" s="1404">
        <v>6.1391880000000008</v>
      </c>
      <c r="AC45" s="1396"/>
      <c r="AD45" s="1402">
        <v>1.0680000000000001</v>
      </c>
      <c r="AE45" s="1404">
        <v>7.2071880000000004</v>
      </c>
      <c r="AF45" s="1396"/>
      <c r="AG45" s="1402">
        <v>0.85199999999999987</v>
      </c>
      <c r="AH45" s="1404">
        <v>8.0591880000000007</v>
      </c>
      <c r="AI45" s="1396"/>
      <c r="AJ45" s="1402">
        <v>1.3576602000000002</v>
      </c>
      <c r="AK45" s="1404">
        <v>9.4168482000000004</v>
      </c>
      <c r="AL45" s="1396"/>
      <c r="AM45" s="1402">
        <v>0</v>
      </c>
      <c r="AN45" s="1404">
        <v>9.4168482000000004</v>
      </c>
      <c r="AO45" s="1396"/>
      <c r="AP45" s="1402">
        <v>0</v>
      </c>
      <c r="AQ45" s="1404">
        <v>9.4168482000000004</v>
      </c>
    </row>
    <row r="46" spans="1:44" ht="15.75" thickBot="1">
      <c r="A46" s="217"/>
      <c r="B46" s="1633" t="s">
        <v>235</v>
      </c>
      <c r="C46" s="1634"/>
      <c r="D46" s="820">
        <v>15</v>
      </c>
      <c r="E46" s="819"/>
      <c r="F46" s="814"/>
      <c r="G46" s="231">
        <v>2.1074999999999999</v>
      </c>
      <c r="H46" s="823"/>
      <c r="I46" s="233"/>
      <c r="J46" s="234">
        <v>2.430393</v>
      </c>
      <c r="K46" s="824"/>
      <c r="L46" s="233"/>
      <c r="M46" s="234">
        <v>2.5782075</v>
      </c>
      <c r="N46" s="824"/>
      <c r="O46" s="233">
        <v>0.52674900000000002</v>
      </c>
      <c r="P46" s="234">
        <v>3.1049565000000001</v>
      </c>
      <c r="Q46" s="824"/>
      <c r="R46" s="233">
        <v>1.40154</v>
      </c>
      <c r="S46" s="234">
        <v>4.5064964999999999</v>
      </c>
      <c r="T46" s="824"/>
      <c r="U46" s="233">
        <v>0.5262</v>
      </c>
      <c r="V46" s="234">
        <v>5.0326965000000001</v>
      </c>
      <c r="W46" s="824"/>
      <c r="X46" s="233">
        <v>0.56233350000000004</v>
      </c>
      <c r="Y46" s="234">
        <v>5.5950300000000004</v>
      </c>
      <c r="Z46" s="824"/>
      <c r="AA46" s="233">
        <v>0.54415799999999992</v>
      </c>
      <c r="AB46" s="234">
        <v>6.1391880000000008</v>
      </c>
      <c r="AC46" s="824"/>
      <c r="AD46" s="233">
        <v>1.0680000000000001</v>
      </c>
      <c r="AE46" s="234">
        <v>7.2071880000000004</v>
      </c>
      <c r="AF46" s="824"/>
      <c r="AG46" s="233">
        <v>0.85199999999999987</v>
      </c>
      <c r="AH46" s="234">
        <v>8.0591880000000007</v>
      </c>
      <c r="AI46" s="824"/>
      <c r="AJ46" s="233">
        <v>1.3576602000000002</v>
      </c>
      <c r="AK46" s="234">
        <v>9.4168482000000004</v>
      </c>
      <c r="AL46" s="824"/>
      <c r="AM46" s="233">
        <v>0</v>
      </c>
      <c r="AN46" s="234">
        <v>9.4168482000000004</v>
      </c>
      <c r="AO46" s="824"/>
      <c r="AP46" s="233">
        <v>0</v>
      </c>
      <c r="AQ46" s="234">
        <v>9.4168482000000004</v>
      </c>
      <c r="AR46" s="1011"/>
    </row>
    <row r="47" spans="1:44" ht="0.95" customHeight="1" thickTop="1" thickBot="1">
      <c r="A47" s="220"/>
      <c r="B47" s="827"/>
      <c r="C47" s="219"/>
      <c r="D47" s="822"/>
      <c r="E47" s="222"/>
      <c r="F47" s="817"/>
      <c r="G47" s="818"/>
      <c r="H47" s="232"/>
      <c r="I47" s="237"/>
      <c r="J47" s="238"/>
      <c r="K47" s="828"/>
      <c r="L47" s="237"/>
      <c r="M47" s="238"/>
      <c r="N47" s="828"/>
      <c r="O47" s="237"/>
      <c r="P47" s="238"/>
      <c r="Q47" s="828"/>
      <c r="R47" s="237"/>
      <c r="S47" s="238"/>
      <c r="T47" s="828"/>
      <c r="U47" s="237"/>
      <c r="V47" s="238"/>
      <c r="W47" s="828"/>
      <c r="X47" s="237"/>
      <c r="Y47" s="238"/>
      <c r="Z47" s="828"/>
      <c r="AA47" s="237"/>
      <c r="AB47" s="238"/>
      <c r="AC47" s="828"/>
      <c r="AD47" s="237"/>
      <c r="AE47" s="238"/>
      <c r="AF47" s="828"/>
      <c r="AG47" s="237"/>
      <c r="AH47" s="238"/>
      <c r="AI47" s="828"/>
      <c r="AJ47" s="237"/>
      <c r="AK47" s="238"/>
      <c r="AL47" s="828"/>
      <c r="AM47" s="237"/>
      <c r="AN47" s="238"/>
      <c r="AO47" s="828"/>
      <c r="AP47" s="237"/>
      <c r="AQ47" s="238"/>
    </row>
    <row r="48" spans="1:44" ht="15.75" thickTop="1">
      <c r="A48" s="217"/>
      <c r="B48" s="1469" t="s">
        <v>234</v>
      </c>
      <c r="C48" s="1470"/>
      <c r="D48" s="1474"/>
      <c r="E48" s="1472"/>
      <c r="F48" s="1658">
        <v>2020</v>
      </c>
      <c r="G48" s="1659"/>
      <c r="H48" s="933"/>
      <c r="I48" s="1662">
        <v>44197</v>
      </c>
      <c r="J48" s="1663"/>
      <c r="K48" s="1460"/>
      <c r="L48" s="1662" t="s">
        <v>274</v>
      </c>
      <c r="M48" s="1663"/>
      <c r="N48" s="1460"/>
      <c r="O48" s="1665">
        <v>44256</v>
      </c>
      <c r="P48" s="1666"/>
      <c r="Q48" s="1460"/>
      <c r="R48" s="1662">
        <v>44287</v>
      </c>
      <c r="S48" s="1663"/>
      <c r="T48" s="1460"/>
      <c r="U48" s="1662">
        <v>44317</v>
      </c>
      <c r="V48" s="1663"/>
      <c r="W48" s="1460"/>
      <c r="X48" s="1662">
        <v>44348</v>
      </c>
      <c r="Y48" s="1663"/>
      <c r="Z48" s="1460"/>
      <c r="AA48" s="1662">
        <v>44378</v>
      </c>
      <c r="AB48" s="1663"/>
      <c r="AC48" s="1460"/>
      <c r="AD48" s="1662">
        <v>44409</v>
      </c>
      <c r="AE48" s="1663"/>
      <c r="AF48" s="1460"/>
      <c r="AG48" s="1662">
        <v>44440</v>
      </c>
      <c r="AH48" s="1663"/>
      <c r="AI48" s="1460"/>
      <c r="AJ48" s="1662">
        <v>44470</v>
      </c>
      <c r="AK48" s="1663"/>
      <c r="AL48" s="1460"/>
      <c r="AM48" s="1662">
        <v>44501</v>
      </c>
      <c r="AN48" s="1663"/>
      <c r="AO48" s="1460"/>
      <c r="AP48" s="1662">
        <v>44531</v>
      </c>
      <c r="AQ48" s="1663"/>
    </row>
    <row r="49" spans="1:44" ht="21" customHeight="1">
      <c r="A49" s="217"/>
      <c r="B49" s="1630" t="s">
        <v>0</v>
      </c>
      <c r="C49" s="1631"/>
      <c r="D49" s="1632"/>
      <c r="E49" s="1450"/>
      <c r="F49" s="1451" t="s">
        <v>240</v>
      </c>
      <c r="G49" s="1452" t="s">
        <v>227</v>
      </c>
      <c r="H49" s="935"/>
      <c r="I49" s="1453" t="s">
        <v>247</v>
      </c>
      <c r="J49" s="1454" t="s">
        <v>246</v>
      </c>
      <c r="K49" s="936"/>
      <c r="L49" s="1453" t="s">
        <v>247</v>
      </c>
      <c r="M49" s="1454" t="s">
        <v>246</v>
      </c>
      <c r="N49" s="936"/>
      <c r="O49" s="1453" t="s">
        <v>247</v>
      </c>
      <c r="P49" s="1454" t="s">
        <v>246</v>
      </c>
      <c r="Q49" s="936"/>
      <c r="R49" s="1453" t="s">
        <v>247</v>
      </c>
      <c r="S49" s="1454" t="s">
        <v>246</v>
      </c>
      <c r="T49" s="936"/>
      <c r="U49" s="1453" t="s">
        <v>247</v>
      </c>
      <c r="V49" s="1454" t="s">
        <v>246</v>
      </c>
      <c r="W49" s="936"/>
      <c r="X49" s="1453" t="s">
        <v>247</v>
      </c>
      <c r="Y49" s="1454" t="s">
        <v>246</v>
      </c>
      <c r="Z49" s="936"/>
      <c r="AA49" s="1453" t="s">
        <v>247</v>
      </c>
      <c r="AB49" s="1454" t="s">
        <v>246</v>
      </c>
      <c r="AC49" s="936"/>
      <c r="AD49" s="1453" t="s">
        <v>247</v>
      </c>
      <c r="AE49" s="1454" t="s">
        <v>246</v>
      </c>
      <c r="AF49" s="936"/>
      <c r="AG49" s="1453" t="s">
        <v>247</v>
      </c>
      <c r="AH49" s="1454" t="s">
        <v>246</v>
      </c>
      <c r="AI49" s="936"/>
      <c r="AJ49" s="1453" t="s">
        <v>247</v>
      </c>
      <c r="AK49" s="1454" t="s">
        <v>246</v>
      </c>
      <c r="AL49" s="936"/>
      <c r="AM49" s="1453" t="s">
        <v>247</v>
      </c>
      <c r="AN49" s="1454" t="s">
        <v>246</v>
      </c>
      <c r="AO49" s="936"/>
      <c r="AP49" s="1453" t="s">
        <v>247</v>
      </c>
      <c r="AQ49" s="1454" t="s">
        <v>246</v>
      </c>
    </row>
    <row r="50" spans="1:44" ht="16.5" customHeight="1">
      <c r="A50" s="217"/>
      <c r="B50" s="449" t="s">
        <v>20</v>
      </c>
      <c r="C50" s="1269" t="s">
        <v>110</v>
      </c>
      <c r="D50" s="1399">
        <v>5</v>
      </c>
      <c r="E50" s="1391"/>
      <c r="F50" s="1415">
        <v>4.13</v>
      </c>
      <c r="G50" s="1401">
        <v>0.20649999999999999</v>
      </c>
      <c r="H50" s="1198"/>
      <c r="I50" s="1402">
        <v>1.8229166666666664E-2</v>
      </c>
      <c r="J50" s="1403">
        <v>0.22472916666666665</v>
      </c>
      <c r="K50" s="1396"/>
      <c r="L50" s="1402">
        <v>1.8229166666666664E-2</v>
      </c>
      <c r="M50" s="1403">
        <v>0.22472916666666665</v>
      </c>
      <c r="N50" s="1396"/>
      <c r="O50" s="1402">
        <v>1.9791666666666666E-2</v>
      </c>
      <c r="P50" s="1404">
        <v>0.2445208333333333</v>
      </c>
      <c r="Q50" s="1396"/>
      <c r="R50" s="1402">
        <v>0</v>
      </c>
      <c r="S50" s="1404">
        <v>0.2445208333333333</v>
      </c>
      <c r="T50" s="1396"/>
      <c r="U50" s="1402">
        <v>0</v>
      </c>
      <c r="V50" s="1404">
        <v>0.2445208333333333</v>
      </c>
      <c r="W50" s="1396"/>
      <c r="X50" s="1402">
        <v>0</v>
      </c>
      <c r="Y50" s="1404">
        <v>0.2445208333333333</v>
      </c>
      <c r="Z50" s="1396"/>
      <c r="AA50" s="1402">
        <v>0</v>
      </c>
      <c r="AB50" s="1404">
        <v>0.2445208333333333</v>
      </c>
      <c r="AC50" s="1396"/>
      <c r="AD50" s="1402">
        <v>0</v>
      </c>
      <c r="AE50" s="1404">
        <v>0.2445208333333333</v>
      </c>
      <c r="AF50" s="1396"/>
      <c r="AG50" s="1402">
        <v>0</v>
      </c>
      <c r="AH50" s="1404">
        <v>0.2445208333333333</v>
      </c>
      <c r="AI50" s="1396"/>
      <c r="AJ50" s="1402">
        <v>0</v>
      </c>
      <c r="AK50" s="1404">
        <v>0.2445208333333333</v>
      </c>
      <c r="AL50" s="1396"/>
      <c r="AM50" s="1402">
        <v>0</v>
      </c>
      <c r="AN50" s="1404">
        <v>0.2445208333333333</v>
      </c>
      <c r="AO50" s="1396"/>
      <c r="AP50" s="1402">
        <v>0</v>
      </c>
      <c r="AQ50" s="1404">
        <v>0.2445208333333333</v>
      </c>
    </row>
    <row r="51" spans="1:44" ht="15.75" thickBot="1">
      <c r="A51" s="217"/>
      <c r="B51" s="1633" t="s">
        <v>334</v>
      </c>
      <c r="C51" s="1634"/>
      <c r="D51" s="820">
        <v>5</v>
      </c>
      <c r="E51" s="819"/>
      <c r="F51" s="814"/>
      <c r="G51" s="231">
        <v>0.20649999999999999</v>
      </c>
      <c r="H51" s="823"/>
      <c r="I51" s="233"/>
      <c r="J51" s="234">
        <v>0.22472916666666665</v>
      </c>
      <c r="K51" s="824"/>
      <c r="L51" s="233"/>
      <c r="M51" s="234">
        <v>0.22472916666666665</v>
      </c>
      <c r="N51" s="824"/>
      <c r="O51" s="233">
        <v>1.9791666666666666E-2</v>
      </c>
      <c r="P51" s="234">
        <v>0.2445208333333333</v>
      </c>
      <c r="Q51" s="824"/>
      <c r="R51" s="233">
        <v>0</v>
      </c>
      <c r="S51" s="234">
        <v>0.2445208333333333</v>
      </c>
      <c r="T51" s="824"/>
      <c r="U51" s="233">
        <v>0</v>
      </c>
      <c r="V51" s="234">
        <v>0.2445208333333333</v>
      </c>
      <c r="W51" s="824"/>
      <c r="X51" s="233">
        <v>0</v>
      </c>
      <c r="Y51" s="234">
        <v>0.2445208333333333</v>
      </c>
      <c r="Z51" s="824"/>
      <c r="AA51" s="233">
        <v>0</v>
      </c>
      <c r="AB51" s="234">
        <v>0.2445208333333333</v>
      </c>
      <c r="AC51" s="824"/>
      <c r="AD51" s="233">
        <v>0</v>
      </c>
      <c r="AE51" s="234">
        <v>0.2445208333333333</v>
      </c>
      <c r="AF51" s="824"/>
      <c r="AG51" s="233">
        <v>0</v>
      </c>
      <c r="AH51" s="234">
        <v>0.2445208333333333</v>
      </c>
      <c r="AI51" s="824"/>
      <c r="AJ51" s="233">
        <v>0</v>
      </c>
      <c r="AK51" s="234">
        <v>0.2445208333333333</v>
      </c>
      <c r="AL51" s="824"/>
      <c r="AM51" s="233">
        <v>0</v>
      </c>
      <c r="AN51" s="234">
        <v>0.2445208333333333</v>
      </c>
      <c r="AO51" s="824"/>
      <c r="AP51" s="233">
        <v>0</v>
      </c>
      <c r="AQ51" s="234">
        <v>0.2445208333333333</v>
      </c>
      <c r="AR51" s="1011"/>
    </row>
    <row r="52" spans="1:44" ht="0.95" customHeight="1" thickTop="1" thickBot="1">
      <c r="A52" s="220"/>
      <c r="B52" s="827"/>
      <c r="C52" s="219"/>
      <c r="D52" s="822"/>
      <c r="E52" s="222"/>
      <c r="F52" s="817"/>
      <c r="G52" s="818"/>
      <c r="H52" s="223"/>
      <c r="I52" s="237"/>
      <c r="J52" s="238"/>
      <c r="K52" s="826"/>
      <c r="L52" s="237"/>
      <c r="M52" s="238"/>
      <c r="N52" s="826"/>
      <c r="O52" s="237"/>
      <c r="P52" s="238"/>
      <c r="Q52" s="826"/>
      <c r="R52" s="237"/>
      <c r="S52" s="238"/>
      <c r="T52" s="826"/>
      <c r="U52" s="237"/>
      <c r="V52" s="238"/>
      <c r="W52" s="826"/>
      <c r="X52" s="237"/>
      <c r="Y52" s="238"/>
      <c r="Z52" s="826"/>
      <c r="AA52" s="237"/>
      <c r="AB52" s="238"/>
      <c r="AC52" s="826"/>
      <c r="AD52" s="237"/>
      <c r="AE52" s="238"/>
      <c r="AF52" s="826"/>
      <c r="AG52" s="237"/>
      <c r="AH52" s="238"/>
      <c r="AI52" s="826"/>
      <c r="AJ52" s="237"/>
      <c r="AK52" s="238"/>
      <c r="AL52" s="826"/>
      <c r="AM52" s="237"/>
      <c r="AN52" s="238"/>
      <c r="AO52" s="826"/>
      <c r="AP52" s="237"/>
      <c r="AQ52" s="238"/>
    </row>
    <row r="53" spans="1:44" ht="15.75" thickTop="1">
      <c r="A53" s="220"/>
      <c r="B53" s="1641" t="s">
        <v>241</v>
      </c>
      <c r="C53" s="1642"/>
      <c r="D53" s="1643"/>
      <c r="E53" s="1408"/>
      <c r="F53" s="1660">
        <v>2020</v>
      </c>
      <c r="G53" s="1661"/>
      <c r="H53" s="933"/>
      <c r="I53" s="1662">
        <v>44197</v>
      </c>
      <c r="J53" s="1663"/>
      <c r="K53" s="1460"/>
      <c r="L53" s="1662">
        <v>44228</v>
      </c>
      <c r="M53" s="1663"/>
      <c r="N53" s="1460"/>
      <c r="O53" s="1665">
        <v>44256</v>
      </c>
      <c r="P53" s="1666"/>
      <c r="Q53" s="1460"/>
      <c r="R53" s="1662">
        <v>44287</v>
      </c>
      <c r="S53" s="1663"/>
      <c r="T53" s="1460"/>
      <c r="U53" s="1662">
        <v>44317</v>
      </c>
      <c r="V53" s="1663"/>
      <c r="W53" s="1460"/>
      <c r="X53" s="1662">
        <v>44348</v>
      </c>
      <c r="Y53" s="1663"/>
      <c r="Z53" s="1460"/>
      <c r="AA53" s="1662">
        <v>44378</v>
      </c>
      <c r="AB53" s="1663"/>
      <c r="AC53" s="1460"/>
      <c r="AD53" s="1662">
        <v>44409</v>
      </c>
      <c r="AE53" s="1663"/>
      <c r="AF53" s="1460"/>
      <c r="AG53" s="1662">
        <v>44440</v>
      </c>
      <c r="AH53" s="1663"/>
      <c r="AI53" s="1460"/>
      <c r="AJ53" s="1662">
        <v>44470</v>
      </c>
      <c r="AK53" s="1663"/>
      <c r="AL53" s="1460"/>
      <c r="AM53" s="1662">
        <v>44501</v>
      </c>
      <c r="AN53" s="1663"/>
      <c r="AO53" s="1460"/>
      <c r="AP53" s="1662">
        <v>44531</v>
      </c>
      <c r="AQ53" s="1663"/>
    </row>
    <row r="54" spans="1:44">
      <c r="A54" s="220"/>
      <c r="B54" s="1644"/>
      <c r="C54" s="1645"/>
      <c r="D54" s="1646"/>
      <c r="E54" s="1408"/>
      <c r="F54" s="1451" t="s">
        <v>240</v>
      </c>
      <c r="G54" s="1452" t="s">
        <v>227</v>
      </c>
      <c r="H54" s="935"/>
      <c r="I54" s="1453" t="s">
        <v>247</v>
      </c>
      <c r="J54" s="1454" t="s">
        <v>246</v>
      </c>
      <c r="K54" s="936"/>
      <c r="L54" s="1453" t="s">
        <v>247</v>
      </c>
      <c r="M54" s="1454" t="s">
        <v>246</v>
      </c>
      <c r="N54" s="936"/>
      <c r="O54" s="1453" t="s">
        <v>247</v>
      </c>
      <c r="P54" s="1454" t="s">
        <v>246</v>
      </c>
      <c r="Q54" s="936"/>
      <c r="R54" s="1453" t="s">
        <v>247</v>
      </c>
      <c r="S54" s="1454" t="s">
        <v>246</v>
      </c>
      <c r="T54" s="936"/>
      <c r="U54" s="1453" t="s">
        <v>247</v>
      </c>
      <c r="V54" s="1454" t="s">
        <v>246</v>
      </c>
      <c r="W54" s="936"/>
      <c r="X54" s="1453" t="s">
        <v>247</v>
      </c>
      <c r="Y54" s="1454" t="s">
        <v>246</v>
      </c>
      <c r="Z54" s="936"/>
      <c r="AA54" s="1453" t="s">
        <v>247</v>
      </c>
      <c r="AB54" s="1454" t="s">
        <v>246</v>
      </c>
      <c r="AC54" s="936"/>
      <c r="AD54" s="1453" t="s">
        <v>247</v>
      </c>
      <c r="AE54" s="1454" t="s">
        <v>246</v>
      </c>
      <c r="AF54" s="936"/>
      <c r="AG54" s="1453" t="s">
        <v>247</v>
      </c>
      <c r="AH54" s="1454" t="s">
        <v>246</v>
      </c>
      <c r="AI54" s="936"/>
      <c r="AJ54" s="1453" t="s">
        <v>247</v>
      </c>
      <c r="AK54" s="1454" t="s">
        <v>246</v>
      </c>
      <c r="AL54" s="936"/>
      <c r="AM54" s="1453" t="s">
        <v>247</v>
      </c>
      <c r="AN54" s="1454" t="s">
        <v>246</v>
      </c>
      <c r="AO54" s="936"/>
      <c r="AP54" s="1453" t="s">
        <v>247</v>
      </c>
      <c r="AQ54" s="1454" t="s">
        <v>246</v>
      </c>
    </row>
    <row r="55" spans="1:44">
      <c r="A55" s="217"/>
      <c r="B55" s="1627" t="s">
        <v>228</v>
      </c>
      <c r="C55" s="1475" t="s">
        <v>229</v>
      </c>
      <c r="D55" s="1399">
        <v>59</v>
      </c>
      <c r="E55" s="1414"/>
      <c r="F55" s="1400"/>
      <c r="G55" s="1439">
        <v>5.2768400000000009</v>
      </c>
      <c r="H55" s="1198"/>
      <c r="I55" s="1402"/>
      <c r="J55" s="1404">
        <v>6.0400060064000005</v>
      </c>
      <c r="K55" s="1396"/>
      <c r="L55" s="1402"/>
      <c r="M55" s="1403">
        <v>6.4131216300000009</v>
      </c>
      <c r="N55" s="1396"/>
      <c r="O55" s="1402">
        <v>1.3803151799999998</v>
      </c>
      <c r="P55" s="1404">
        <v>7.7934368100000011</v>
      </c>
      <c r="Q55" s="1396"/>
      <c r="R55" s="1402">
        <v>3.6292875000000002</v>
      </c>
      <c r="S55" s="1404">
        <v>11.42272431</v>
      </c>
      <c r="T55" s="1396"/>
      <c r="U55" s="1402">
        <v>2.9552</v>
      </c>
      <c r="V55" s="1404">
        <v>14.377924310000001</v>
      </c>
      <c r="W55" s="1396"/>
      <c r="X55" s="1402">
        <v>3.9217267543859649</v>
      </c>
      <c r="Y55" s="1404">
        <v>18.299651064385966</v>
      </c>
      <c r="Z55" s="1396"/>
      <c r="AA55" s="1402">
        <v>2.4444517543859651E-2</v>
      </c>
      <c r="AB55" s="1404">
        <v>18.324095581929825</v>
      </c>
      <c r="AC55" s="1396"/>
      <c r="AD55" s="1402">
        <v>0.49232763157894732</v>
      </c>
      <c r="AE55" s="1404">
        <v>18.81642321350877</v>
      </c>
      <c r="AF55" s="1396"/>
      <c r="AG55" s="1402">
        <v>2.7572827777777777</v>
      </c>
      <c r="AH55" s="1404">
        <v>21.573705991286545</v>
      </c>
      <c r="AI55" s="1396"/>
      <c r="AJ55" s="1402">
        <v>2.8951469166666666</v>
      </c>
      <c r="AK55" s="1404">
        <v>24.468852907953213</v>
      </c>
      <c r="AL55" s="1396"/>
      <c r="AM55" s="1402">
        <v>0</v>
      </c>
      <c r="AN55" s="1404">
        <v>24.468852907953213</v>
      </c>
      <c r="AO55" s="1396"/>
      <c r="AP55" s="1402">
        <v>0</v>
      </c>
      <c r="AQ55" s="1404">
        <v>24.468852907953213</v>
      </c>
    </row>
    <row r="56" spans="1:44">
      <c r="A56" s="217"/>
      <c r="B56" s="1627"/>
      <c r="C56" s="1475" t="s">
        <v>230</v>
      </c>
      <c r="D56" s="1399">
        <v>21</v>
      </c>
      <c r="E56" s="1414"/>
      <c r="F56" s="1400"/>
      <c r="G56" s="1439">
        <v>0.67809000000000008</v>
      </c>
      <c r="H56" s="1198"/>
      <c r="I56" s="1402"/>
      <c r="J56" s="1404">
        <v>3.5566288888888886</v>
      </c>
      <c r="K56" s="1396"/>
      <c r="L56" s="1402"/>
      <c r="M56" s="1403">
        <v>4.1924634722222223</v>
      </c>
      <c r="N56" s="1396"/>
      <c r="O56" s="1402">
        <v>2.384436</v>
      </c>
      <c r="P56" s="1404">
        <v>6.5768994722222232</v>
      </c>
      <c r="Q56" s="1396"/>
      <c r="R56" s="1402">
        <v>6.9722222222222199E-2</v>
      </c>
      <c r="S56" s="1404">
        <v>6.6466216944444456</v>
      </c>
      <c r="T56" s="1396"/>
      <c r="U56" s="1402">
        <v>1.6111111111111111E-2</v>
      </c>
      <c r="V56" s="1404">
        <v>6.6627328055555566</v>
      </c>
      <c r="W56" s="1396"/>
      <c r="X56" s="1402">
        <v>1.9147656785714284</v>
      </c>
      <c r="Y56" s="1404">
        <v>8.5774984841269841</v>
      </c>
      <c r="Z56" s="1396"/>
      <c r="AA56" s="1402">
        <v>5.5555555555555556E-4</v>
      </c>
      <c r="AB56" s="1404">
        <v>8.5780540396825415</v>
      </c>
      <c r="AC56" s="1396"/>
      <c r="AD56" s="1402">
        <v>8.1111111111111106E-3</v>
      </c>
      <c r="AE56" s="1404">
        <v>8.5861651507936507</v>
      </c>
      <c r="AF56" s="1396"/>
      <c r="AG56" s="1402">
        <v>0.23408333333333331</v>
      </c>
      <c r="AH56" s="1404">
        <v>8.820248484126985</v>
      </c>
      <c r="AI56" s="1396"/>
      <c r="AJ56" s="1402">
        <v>0.21662083333333332</v>
      </c>
      <c r="AK56" s="1404">
        <v>9.0368693174603187</v>
      </c>
      <c r="AL56" s="1396"/>
      <c r="AM56" s="1402">
        <v>0</v>
      </c>
      <c r="AN56" s="1404">
        <v>9.0368693174603187</v>
      </c>
      <c r="AO56" s="1396"/>
      <c r="AP56" s="1402">
        <v>0</v>
      </c>
      <c r="AQ56" s="1404">
        <v>9.0368693174603187</v>
      </c>
    </row>
    <row r="57" spans="1:44">
      <c r="A57" s="217"/>
      <c r="B57" s="1627"/>
      <c r="C57" s="1475" t="s">
        <v>231</v>
      </c>
      <c r="D57" s="1399">
        <v>15</v>
      </c>
      <c r="E57" s="1414"/>
      <c r="F57" s="1400" t="s">
        <v>4</v>
      </c>
      <c r="G57" s="1439">
        <v>2.1074999999999999</v>
      </c>
      <c r="H57" s="1198"/>
      <c r="I57" s="1402" t="s">
        <v>4</v>
      </c>
      <c r="J57" s="1404">
        <v>2.430393</v>
      </c>
      <c r="K57" s="1396"/>
      <c r="L57" s="1402" t="s">
        <v>4</v>
      </c>
      <c r="M57" s="1403">
        <v>2.5782075</v>
      </c>
      <c r="N57" s="1396"/>
      <c r="O57" s="1402">
        <v>0.52674900000000002</v>
      </c>
      <c r="P57" s="1404">
        <v>3.1049565000000001</v>
      </c>
      <c r="Q57" s="1396"/>
      <c r="R57" s="1402">
        <v>1.40154</v>
      </c>
      <c r="S57" s="1404">
        <v>4.5064964999999999</v>
      </c>
      <c r="T57" s="1396"/>
      <c r="U57" s="1402">
        <v>0.5262</v>
      </c>
      <c r="V57" s="1404">
        <v>5.0326965000000001</v>
      </c>
      <c r="W57" s="1396"/>
      <c r="X57" s="1402">
        <v>0.56233350000000004</v>
      </c>
      <c r="Y57" s="1404">
        <v>5.5950300000000004</v>
      </c>
      <c r="Z57" s="1396"/>
      <c r="AA57" s="1402">
        <v>0.54415799999999992</v>
      </c>
      <c r="AB57" s="1404">
        <v>6.1391880000000008</v>
      </c>
      <c r="AC57" s="1396"/>
      <c r="AD57" s="1402">
        <v>1.0680000000000001</v>
      </c>
      <c r="AE57" s="1404">
        <v>7.2071880000000004</v>
      </c>
      <c r="AF57" s="1396"/>
      <c r="AG57" s="1402">
        <v>0.85199999999999987</v>
      </c>
      <c r="AH57" s="1404">
        <v>8.0591880000000007</v>
      </c>
      <c r="AI57" s="1396"/>
      <c r="AJ57" s="1402">
        <v>1.3576602000000002</v>
      </c>
      <c r="AK57" s="1404">
        <v>9.4168482000000004</v>
      </c>
      <c r="AL57" s="1396"/>
      <c r="AM57" s="1402">
        <v>0</v>
      </c>
      <c r="AN57" s="1404">
        <v>9.4168482000000004</v>
      </c>
      <c r="AO57" s="1396"/>
      <c r="AP57" s="1402">
        <v>0</v>
      </c>
      <c r="AQ57" s="1404">
        <v>9.4168482000000004</v>
      </c>
    </row>
    <row r="58" spans="1:44">
      <c r="A58" s="217"/>
      <c r="B58" s="1627"/>
      <c r="C58" s="1475" t="s">
        <v>232</v>
      </c>
      <c r="D58" s="1440">
        <v>5</v>
      </c>
      <c r="E58" s="1441"/>
      <c r="F58" s="1442"/>
      <c r="G58" s="1443">
        <v>0.20649999999999999</v>
      </c>
      <c r="H58" s="1198"/>
      <c r="I58" s="1444"/>
      <c r="J58" s="1445">
        <v>0.22472916666666665</v>
      </c>
      <c r="K58" s="1396"/>
      <c r="L58" s="1444"/>
      <c r="M58" s="1403">
        <v>0.22472916666666665</v>
      </c>
      <c r="N58" s="1396"/>
      <c r="O58" s="1402">
        <v>1.9791666666666666E-2</v>
      </c>
      <c r="P58" s="1404">
        <v>0.2445208333333333</v>
      </c>
      <c r="Q58" s="1396"/>
      <c r="R58" s="1402">
        <v>0</v>
      </c>
      <c r="S58" s="1404">
        <v>0.2445208333333333</v>
      </c>
      <c r="T58" s="1396"/>
      <c r="U58" s="1402">
        <v>0</v>
      </c>
      <c r="V58" s="1404">
        <v>0.2445208333333333</v>
      </c>
      <c r="W58" s="1396"/>
      <c r="X58" s="1402">
        <v>0</v>
      </c>
      <c r="Y58" s="1404">
        <v>0.2445208333333333</v>
      </c>
      <c r="Z58" s="1396"/>
      <c r="AA58" s="1402">
        <v>0</v>
      </c>
      <c r="AB58" s="1404">
        <v>0.2445208333333333</v>
      </c>
      <c r="AC58" s="1396"/>
      <c r="AD58" s="1402">
        <v>0</v>
      </c>
      <c r="AE58" s="1404">
        <v>0.2445208333333333</v>
      </c>
      <c r="AF58" s="1396"/>
      <c r="AG58" s="1402">
        <v>0</v>
      </c>
      <c r="AH58" s="1404">
        <v>0.2445208333333333</v>
      </c>
      <c r="AI58" s="1396"/>
      <c r="AJ58" s="1402">
        <v>0</v>
      </c>
      <c r="AK58" s="1404">
        <v>0.2445208333333333</v>
      </c>
      <c r="AL58" s="1396"/>
      <c r="AM58" s="1402">
        <v>0</v>
      </c>
      <c r="AN58" s="1404">
        <v>0.2445208333333333</v>
      </c>
      <c r="AO58" s="1396"/>
      <c r="AP58" s="1402">
        <v>0</v>
      </c>
      <c r="AQ58" s="1404">
        <v>0.2445208333333333</v>
      </c>
    </row>
    <row r="59" spans="1:44" ht="15.75" thickBot="1">
      <c r="A59" s="217"/>
      <c r="B59" s="1628" t="s">
        <v>719</v>
      </c>
      <c r="C59" s="1629"/>
      <c r="D59" s="1476">
        <v>100</v>
      </c>
      <c r="E59" s="1477"/>
      <c r="F59" s="1478"/>
      <c r="G59" s="1479">
        <v>8.268930000000001</v>
      </c>
      <c r="H59" s="1220"/>
      <c r="I59" s="1480"/>
      <c r="J59" s="1481">
        <v>12.251757061955557</v>
      </c>
      <c r="K59" s="1482"/>
      <c r="L59" s="1480"/>
      <c r="M59" s="1481">
        <v>13.408521768888889</v>
      </c>
      <c r="N59" s="1482"/>
      <c r="O59" s="1480">
        <v>4.3112918466666663</v>
      </c>
      <c r="P59" s="1481">
        <v>17.719813615555559</v>
      </c>
      <c r="Q59" s="1482"/>
      <c r="R59" s="1480">
        <v>5.1005497222222225</v>
      </c>
      <c r="S59" s="1481">
        <v>22.820363337777778</v>
      </c>
      <c r="T59" s="1482"/>
      <c r="U59" s="1480">
        <v>3.4975111111111108</v>
      </c>
      <c r="V59" s="1481">
        <v>26.31787444888889</v>
      </c>
      <c r="W59" s="1482"/>
      <c r="X59" s="1480">
        <v>6.3988259329573935</v>
      </c>
      <c r="Y59" s="1481">
        <v>32.71670038184628</v>
      </c>
      <c r="Z59" s="1482"/>
      <c r="AA59" s="1480">
        <v>0.56915807309941513</v>
      </c>
      <c r="AB59" s="1481">
        <v>33.285858454945703</v>
      </c>
      <c r="AC59" s="1482"/>
      <c r="AD59" s="1480">
        <v>1.5684387426900583</v>
      </c>
      <c r="AE59" s="1481">
        <v>34.854297197635752</v>
      </c>
      <c r="AF59" s="1482"/>
      <c r="AG59" s="1480">
        <v>3.843366111111111</v>
      </c>
      <c r="AH59" s="1481">
        <v>38.697663308746861</v>
      </c>
      <c r="AI59" s="1482"/>
      <c r="AJ59" s="1480">
        <v>4.46942795</v>
      </c>
      <c r="AK59" s="1481">
        <v>43.167091258746872</v>
      </c>
      <c r="AL59" s="1482"/>
      <c r="AM59" s="1480">
        <v>0</v>
      </c>
      <c r="AN59" s="1481">
        <v>43.167091258746872</v>
      </c>
      <c r="AO59" s="1482"/>
      <c r="AP59" s="1480">
        <v>0</v>
      </c>
      <c r="AQ59" s="1481">
        <v>43.167091258746872</v>
      </c>
      <c r="AR59" s="1012"/>
    </row>
    <row r="60" spans="1:44" ht="15.75" hidden="1" thickTop="1">
      <c r="V60" s="1104">
        <v>25.536384448888889</v>
      </c>
      <c r="W60" s="1104"/>
      <c r="X60" s="1104">
        <v>6.3988259329573927</v>
      </c>
      <c r="Y60" s="1104">
        <v>31.935210381846282</v>
      </c>
      <c r="Z60" s="1104"/>
      <c r="AA60" s="1104">
        <v>0.56915807309941524</v>
      </c>
      <c r="AB60" s="1104">
        <v>32.504368454945698</v>
      </c>
      <c r="AC60" s="1104"/>
      <c r="AD60" s="1104">
        <v>1.5684387426900586</v>
      </c>
      <c r="AE60" s="1104">
        <v>34.072807197635754</v>
      </c>
      <c r="AF60" s="1104"/>
      <c r="AG60" s="1104">
        <v>3.8155883333333325</v>
      </c>
      <c r="AH60" s="1104">
        <v>37.888395530969085</v>
      </c>
      <c r="AI60" s="1104"/>
      <c r="AJ60" s="1104">
        <v>0</v>
      </c>
      <c r="AK60" s="1104">
        <v>37.888395530969085</v>
      </c>
      <c r="AL60" s="1104"/>
      <c r="AM60" s="1104">
        <v>0</v>
      </c>
      <c r="AN60" s="1104">
        <v>37.888395530969085</v>
      </c>
      <c r="AO60" s="1104"/>
      <c r="AP60" s="1104">
        <v>0</v>
      </c>
      <c r="AQ60" s="1104">
        <v>37.888395530969085</v>
      </c>
    </row>
    <row r="61" spans="1:44" hidden="1">
      <c r="C61" s="955" t="s">
        <v>782</v>
      </c>
      <c r="D61" s="760">
        <v>100</v>
      </c>
      <c r="E61" s="760"/>
      <c r="F61" s="760"/>
      <c r="G61" s="760">
        <v>12.073500000000001</v>
      </c>
      <c r="H61" s="760"/>
      <c r="I61" s="760"/>
      <c r="J61" s="760">
        <v>14.461325161955557</v>
      </c>
      <c r="K61" s="760"/>
      <c r="L61" s="760"/>
      <c r="M61" s="760">
        <v>15.766506102222223</v>
      </c>
      <c r="N61" s="760"/>
      <c r="O61" s="760">
        <v>4.28486528</v>
      </c>
      <c r="P61" s="760">
        <v>20.051371382222221</v>
      </c>
      <c r="Q61" s="760"/>
      <c r="R61" s="760">
        <v>4.0619176467505245</v>
      </c>
      <c r="S61" s="760">
        <v>24.113289028972748</v>
      </c>
      <c r="T61" s="760"/>
      <c r="U61" s="760">
        <v>1.8884262054507337</v>
      </c>
      <c r="V61" s="760">
        <v>26.001715234423479</v>
      </c>
      <c r="W61" s="760"/>
      <c r="X61" s="760">
        <v>3.6650352792003593</v>
      </c>
      <c r="Y61" s="760">
        <v>29.666750513623839</v>
      </c>
      <c r="Z61" s="760"/>
      <c r="AA61" s="760">
        <v>2.5550908347559149</v>
      </c>
      <c r="AB61" s="760">
        <v>32.221841348379755</v>
      </c>
      <c r="AC61" s="760"/>
      <c r="AD61" s="760">
        <v>0</v>
      </c>
      <c r="AE61" s="760">
        <v>32.221841348379755</v>
      </c>
      <c r="AF61" s="760"/>
      <c r="AG61" s="760">
        <v>0</v>
      </c>
      <c r="AH61" s="760">
        <v>32.221841348379755</v>
      </c>
      <c r="AI61" s="760"/>
      <c r="AJ61" s="760">
        <v>0</v>
      </c>
      <c r="AK61" s="760">
        <v>32.221841348379755</v>
      </c>
      <c r="AL61" s="760"/>
      <c r="AM61" s="760">
        <v>0</v>
      </c>
      <c r="AN61" s="760">
        <v>32.221841348379755</v>
      </c>
      <c r="AO61" s="760"/>
      <c r="AP61" s="760">
        <v>0</v>
      </c>
      <c r="AQ61" s="760">
        <v>32.221841348379755</v>
      </c>
    </row>
    <row r="62" spans="1:44" hidden="1">
      <c r="C62" s="955" t="s">
        <v>783</v>
      </c>
      <c r="D62" s="760">
        <v>0</v>
      </c>
      <c r="G62" s="760">
        <v>-3.80457</v>
      </c>
      <c r="H62" s="760">
        <v>0</v>
      </c>
      <c r="I62" s="760">
        <v>0</v>
      </c>
      <c r="J62" s="760">
        <v>-2.2095681000000003</v>
      </c>
      <c r="K62" s="760">
        <v>0</v>
      </c>
      <c r="L62" s="760">
        <v>0</v>
      </c>
      <c r="M62" s="760">
        <v>-2.3579843333333343</v>
      </c>
      <c r="N62" s="760">
        <v>0</v>
      </c>
      <c r="O62" s="760">
        <v>2.6426566666666318E-2</v>
      </c>
      <c r="P62" s="760">
        <v>-2.3315577666666627</v>
      </c>
      <c r="Q62" s="760">
        <v>0</v>
      </c>
      <c r="R62" s="760">
        <v>1.038632075471698</v>
      </c>
      <c r="S62" s="760">
        <v>-1.29292569119497</v>
      </c>
      <c r="T62" s="760">
        <v>0</v>
      </c>
      <c r="U62" s="760">
        <v>1.6090849056603771</v>
      </c>
      <c r="V62" s="760">
        <v>0.31615921446541151</v>
      </c>
      <c r="W62" s="760">
        <v>0</v>
      </c>
      <c r="X62" s="760">
        <v>2.7337906537570342</v>
      </c>
      <c r="Y62" s="760">
        <v>3.0499498682224413</v>
      </c>
      <c r="Z62" s="760">
        <v>0</v>
      </c>
      <c r="AA62" s="760">
        <v>-1.9859327616564997</v>
      </c>
      <c r="AB62" s="760">
        <v>1.0640171065659487</v>
      </c>
      <c r="AC62" s="760">
        <v>0</v>
      </c>
      <c r="AD62" s="760">
        <v>1.5684387426900583</v>
      </c>
      <c r="AE62" s="760">
        <v>2.6324558492559973</v>
      </c>
      <c r="AF62" s="760">
        <v>0</v>
      </c>
      <c r="AG62" s="760">
        <v>3.843366111111111</v>
      </c>
      <c r="AH62" s="760">
        <v>6.4758219603671066</v>
      </c>
      <c r="AI62" s="760">
        <v>0</v>
      </c>
      <c r="AJ62" s="760">
        <v>4.46942795</v>
      </c>
      <c r="AK62" s="760">
        <v>10.945249910367117</v>
      </c>
      <c r="AL62" s="760">
        <v>0</v>
      </c>
      <c r="AM62" s="760">
        <v>0</v>
      </c>
      <c r="AN62" s="760">
        <v>10.945249910367117</v>
      </c>
      <c r="AO62" s="760">
        <v>0</v>
      </c>
      <c r="AP62" s="760">
        <v>0</v>
      </c>
      <c r="AQ62" s="760">
        <v>10.945249910367117</v>
      </c>
    </row>
    <row r="63" spans="1:44" hidden="1"/>
    <row r="64" spans="1:44" hidden="1">
      <c r="C64" s="1052" t="s">
        <v>793</v>
      </c>
      <c r="D64" s="760">
        <v>100</v>
      </c>
      <c r="E64" s="760"/>
      <c r="F64" s="760"/>
      <c r="G64" s="760">
        <v>12.073500000000001</v>
      </c>
      <c r="H64" s="760"/>
      <c r="I64" s="760"/>
      <c r="J64" s="760">
        <v>257.51346952888889</v>
      </c>
      <c r="K64" s="760"/>
      <c r="L64" s="760"/>
      <c r="M64" s="760">
        <v>371.80116022222222</v>
      </c>
      <c r="N64" s="760"/>
      <c r="O64" s="760">
        <v>427.83606466666669</v>
      </c>
      <c r="P64" s="760">
        <v>799.63722488888891</v>
      </c>
      <c r="Q64" s="760"/>
      <c r="R64" s="760">
        <v>510.05497222222226</v>
      </c>
      <c r="S64" s="760">
        <v>1309.692197111111</v>
      </c>
      <c r="T64" s="760"/>
      <c r="U64" s="760">
        <v>349.75111111111113</v>
      </c>
      <c r="V64" s="760">
        <v>1659.4433082222224</v>
      </c>
      <c r="W64" s="760"/>
      <c r="X64" s="760">
        <v>318.24741785714286</v>
      </c>
      <c r="Y64" s="760">
        <v>1977.690726079365</v>
      </c>
      <c r="Z64" s="760"/>
      <c r="AA64" s="760">
        <v>72.79913333333333</v>
      </c>
      <c r="AB64" s="760">
        <v>2050.4898594126985</v>
      </c>
      <c r="AC64" s="760"/>
      <c r="AD64" s="760">
        <v>0</v>
      </c>
      <c r="AE64" s="760">
        <v>2050.4898594126985</v>
      </c>
      <c r="AF64" s="760"/>
      <c r="AG64" s="760">
        <v>0</v>
      </c>
      <c r="AH64" s="760">
        <v>2050.4898594126985</v>
      </c>
      <c r="AI64" s="760"/>
      <c r="AJ64" s="760">
        <v>0</v>
      </c>
      <c r="AK64" s="760">
        <v>2050.4898594126985</v>
      </c>
      <c r="AL64" s="760"/>
      <c r="AM64" s="760">
        <v>0</v>
      </c>
      <c r="AN64" s="760">
        <v>2050.4898594126985</v>
      </c>
      <c r="AO64" s="760"/>
      <c r="AP64" s="760">
        <v>0</v>
      </c>
      <c r="AQ64" s="760">
        <v>2050.4898594126985</v>
      </c>
    </row>
    <row r="65" spans="7:43" hidden="1">
      <c r="G65" s="760">
        <v>-3.80457</v>
      </c>
      <c r="J65" s="760">
        <v>-245.26171246693335</v>
      </c>
      <c r="M65" s="760">
        <v>-358.39263845333335</v>
      </c>
      <c r="O65" s="760">
        <v>-423.52477282000001</v>
      </c>
      <c r="P65" s="760">
        <v>-781.9174112733333</v>
      </c>
      <c r="R65" s="760">
        <v>-504.95442250000002</v>
      </c>
      <c r="S65" s="760">
        <v>-1286.8718337733333</v>
      </c>
      <c r="U65" s="760">
        <v>-346.25360000000001</v>
      </c>
      <c r="V65" s="760">
        <v>-1633.1254337733335</v>
      </c>
      <c r="X65" s="760">
        <v>-311.84859192418548</v>
      </c>
      <c r="Y65" s="760">
        <v>-1944.9740256975188</v>
      </c>
      <c r="AA65" s="760">
        <v>-72.229975260233914</v>
      </c>
      <c r="AB65" s="760">
        <v>-2017.2040009577527</v>
      </c>
      <c r="AD65" s="760">
        <v>1.5684387426900583</v>
      </c>
      <c r="AE65" s="760">
        <v>-2015.6355622150627</v>
      </c>
      <c r="AG65" s="760">
        <v>3.843366111111111</v>
      </c>
      <c r="AH65" s="760">
        <v>-2011.7921961039517</v>
      </c>
      <c r="AJ65" s="760">
        <v>4.46942795</v>
      </c>
      <c r="AK65" s="760">
        <v>-2007.3227681539515</v>
      </c>
      <c r="AM65" s="760">
        <v>0</v>
      </c>
      <c r="AN65" s="760">
        <v>-2007.3227681539515</v>
      </c>
      <c r="AP65" s="760">
        <v>0</v>
      </c>
      <c r="AQ65" s="760">
        <v>-2007.3227681539515</v>
      </c>
    </row>
    <row r="66" spans="7:43" hidden="1">
      <c r="G66" s="1104">
        <v>9.0193500000000011</v>
      </c>
      <c r="H66" s="1104"/>
      <c r="I66" s="1104"/>
      <c r="J66" s="1104">
        <v>11.508267061955554</v>
      </c>
      <c r="K66" s="1104"/>
      <c r="L66" s="1104"/>
      <c r="M66" s="1104">
        <v>12.665031768888888</v>
      </c>
      <c r="N66" s="1104"/>
      <c r="O66" s="1104">
        <v>4.3112918466666663</v>
      </c>
      <c r="P66" s="1104">
        <v>16.938323615555554</v>
      </c>
      <c r="Q66" s="1104"/>
      <c r="R66" s="1104">
        <v>5.1005497222222225</v>
      </c>
      <c r="S66" s="1104">
        <v>22.038873337777776</v>
      </c>
      <c r="T66" s="1104"/>
      <c r="U66" s="1104">
        <v>3.4975111111111112</v>
      </c>
      <c r="V66" s="1104">
        <v>25.536384448888889</v>
      </c>
      <c r="W66" s="1104"/>
      <c r="X66" s="1104">
        <v>6.3988259329573927</v>
      </c>
      <c r="Y66" s="1104">
        <v>31.935210381846282</v>
      </c>
      <c r="Z66" s="1104"/>
      <c r="AA66" s="1104">
        <v>0.56915807309941524</v>
      </c>
      <c r="AB66" s="1104">
        <v>32.504368454945698</v>
      </c>
      <c r="AC66" s="1104"/>
      <c r="AD66" s="1104">
        <v>1.5684387426900586</v>
      </c>
      <c r="AE66" s="1104">
        <v>34.072807197635754</v>
      </c>
      <c r="AF66" s="1104"/>
      <c r="AG66" s="1104">
        <v>3.8155883333333335E-2</v>
      </c>
      <c r="AH66" s="1104">
        <v>34.110963080969093</v>
      </c>
      <c r="AI66" s="1104"/>
      <c r="AJ66" s="1104">
        <v>0</v>
      </c>
      <c r="AK66" s="1104">
        <v>34.110963080969093</v>
      </c>
      <c r="AL66" s="1104"/>
      <c r="AM66" s="1104">
        <v>0</v>
      </c>
      <c r="AN66" s="1104">
        <v>34.110963080969093</v>
      </c>
      <c r="AO66" s="1104"/>
      <c r="AP66" s="1104">
        <v>0</v>
      </c>
      <c r="AQ66" s="1104">
        <v>34.110963080969093</v>
      </c>
    </row>
    <row r="67" spans="7:43" ht="15.75" thickTop="1"/>
  </sheetData>
  <sheetProtection password="E86C" sheet="1" objects="1" scenarios="1"/>
  <mergeCells count="83">
    <mergeCell ref="AP5:AQ5"/>
    <mergeCell ref="AP33:AQ33"/>
    <mergeCell ref="AP43:AQ43"/>
    <mergeCell ref="AP48:AQ48"/>
    <mergeCell ref="AP53:AQ53"/>
    <mergeCell ref="AM5:AN5"/>
    <mergeCell ref="AM33:AN33"/>
    <mergeCell ref="AM43:AN43"/>
    <mergeCell ref="AM48:AN48"/>
    <mergeCell ref="AM53:AN53"/>
    <mergeCell ref="AJ5:AK5"/>
    <mergeCell ref="AJ33:AK33"/>
    <mergeCell ref="AJ43:AK43"/>
    <mergeCell ref="AJ48:AK48"/>
    <mergeCell ref="AJ53:AK53"/>
    <mergeCell ref="AG5:AH5"/>
    <mergeCell ref="AG33:AH33"/>
    <mergeCell ref="AG43:AH43"/>
    <mergeCell ref="AG48:AH48"/>
    <mergeCell ref="AG53:AH53"/>
    <mergeCell ref="AD5:AE5"/>
    <mergeCell ref="AD33:AE33"/>
    <mergeCell ref="AD43:AE43"/>
    <mergeCell ref="AD48:AE48"/>
    <mergeCell ref="AD53:AE53"/>
    <mergeCell ref="AA5:AB5"/>
    <mergeCell ref="AA33:AB33"/>
    <mergeCell ref="AA43:AB43"/>
    <mergeCell ref="AA48:AB48"/>
    <mergeCell ref="AA53:AB53"/>
    <mergeCell ref="X5:Y5"/>
    <mergeCell ref="X33:Y33"/>
    <mergeCell ref="X43:Y43"/>
    <mergeCell ref="X48:Y48"/>
    <mergeCell ref="X53:Y53"/>
    <mergeCell ref="U5:V5"/>
    <mergeCell ref="U33:V33"/>
    <mergeCell ref="U43:V43"/>
    <mergeCell ref="U48:V48"/>
    <mergeCell ref="U53:V53"/>
    <mergeCell ref="R5:S5"/>
    <mergeCell ref="R33:S33"/>
    <mergeCell ref="R43:S43"/>
    <mergeCell ref="R48:S48"/>
    <mergeCell ref="R53:S53"/>
    <mergeCell ref="O5:P5"/>
    <mergeCell ref="O33:P33"/>
    <mergeCell ref="O43:P43"/>
    <mergeCell ref="O48:P48"/>
    <mergeCell ref="O53:P53"/>
    <mergeCell ref="F53:G53"/>
    <mergeCell ref="I48:J48"/>
    <mergeCell ref="I53:J53"/>
    <mergeCell ref="L5:M5"/>
    <mergeCell ref="L33:M33"/>
    <mergeCell ref="L43:M43"/>
    <mergeCell ref="L48:M48"/>
    <mergeCell ref="L53:M53"/>
    <mergeCell ref="I5:J5"/>
    <mergeCell ref="I33:J33"/>
    <mergeCell ref="I43:J43"/>
    <mergeCell ref="B1:M1"/>
    <mergeCell ref="B46:C46"/>
    <mergeCell ref="B51:C51"/>
    <mergeCell ref="B2:M2"/>
    <mergeCell ref="B3:M3"/>
    <mergeCell ref="B44:D44"/>
    <mergeCell ref="B6:D6"/>
    <mergeCell ref="B13:D13"/>
    <mergeCell ref="B19:D19"/>
    <mergeCell ref="B28:B30"/>
    <mergeCell ref="F5:G5"/>
    <mergeCell ref="F33:G33"/>
    <mergeCell ref="F43:G43"/>
    <mergeCell ref="F48:G48"/>
    <mergeCell ref="B55:B58"/>
    <mergeCell ref="B59:C59"/>
    <mergeCell ref="B49:D49"/>
    <mergeCell ref="B31:C31"/>
    <mergeCell ref="B34:D34"/>
    <mergeCell ref="B37:D37"/>
    <mergeCell ref="B41:C41"/>
    <mergeCell ref="B53:D54"/>
  </mergeCells>
  <printOptions headings="1"/>
  <pageMargins left="0" right="0" top="1" bottom="0" header="0.55000000000000004" footer="0.55000000000000004"/>
  <pageSetup scale="70" orientation="landscape" horizontalDpi="360" verticalDpi="360" r:id="rId1"/>
  <headerFooter>
    <oddHeader>&amp;LCFAVC Quarterly Report January -March 2021 &amp;RAnnex 1.2</oddHeader>
    <oddFooter>&amp;LAESA &amp; SBK</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FF"/>
  </sheetPr>
  <dimension ref="A1:BD55"/>
  <sheetViews>
    <sheetView view="pageBreakPreview" topLeftCell="B1" zoomScale="77" zoomScaleNormal="100" zoomScaleSheetLayoutView="77" workbookViewId="0">
      <pane xSplit="3" ySplit="7" topLeftCell="E8" activePane="bottomRight" state="frozen"/>
      <selection activeCell="B1" sqref="B1"/>
      <selection pane="topRight" activeCell="E1" sqref="E1"/>
      <selection pane="bottomLeft" activeCell="B8" sqref="B8"/>
      <selection pane="bottomRight" activeCell="B39" sqref="A39:XFD54"/>
    </sheetView>
  </sheetViews>
  <sheetFormatPr defaultColWidth="9.140625" defaultRowHeight="14.25"/>
  <cols>
    <col min="1" max="1" width="0" style="204" hidden="1" customWidth="1"/>
    <col min="2" max="2" width="7.28515625" style="204" customWidth="1"/>
    <col min="3" max="3" width="91.140625" style="204" customWidth="1"/>
    <col min="4" max="4" width="10.85546875" style="204" customWidth="1"/>
    <col min="5" max="5" width="7.7109375" style="204" customWidth="1"/>
    <col min="6" max="6" width="12.28515625" style="204" customWidth="1"/>
    <col min="7" max="7" width="0.85546875" style="204" hidden="1" customWidth="1"/>
    <col min="8" max="10" width="7.7109375" style="204" customWidth="1"/>
    <col min="11" max="11" width="8.85546875" style="204" customWidth="1"/>
    <col min="12" max="12" width="9.28515625" style="204" bestFit="1" customWidth="1"/>
    <col min="13" max="13" width="8.5703125" style="204" customWidth="1"/>
    <col min="14" max="14" width="9" style="204" customWidth="1"/>
    <col min="15" max="15" width="9.140625" style="204" customWidth="1"/>
    <col min="16" max="16" width="8.7109375" style="204" customWidth="1"/>
    <col min="17" max="20" width="7.7109375" style="204" customWidth="1"/>
    <col min="21" max="21" width="9.28515625" style="204" bestFit="1" customWidth="1"/>
    <col min="22" max="26" width="7.7109375" style="204" customWidth="1"/>
    <col min="27" max="27" width="9.28515625" style="204" bestFit="1" customWidth="1"/>
    <col min="28" max="28" width="9" style="204" customWidth="1"/>
    <col min="29" max="29" width="9.28515625" style="204" customWidth="1"/>
    <col min="30" max="30" width="9.28515625" style="204" bestFit="1" customWidth="1"/>
    <col min="31" max="31" width="10.28515625" style="204" bestFit="1" customWidth="1"/>
    <col min="32" max="32" width="9" style="204" customWidth="1"/>
    <col min="33" max="34" width="9.28515625" style="204" bestFit="1" customWidth="1"/>
    <col min="35" max="36" width="10.28515625" style="204" bestFit="1" customWidth="1"/>
    <col min="37" max="37" width="8.140625" style="204" bestFit="1" customWidth="1"/>
    <col min="38" max="38" width="8.42578125" style="204" customWidth="1"/>
    <col min="39" max="39" width="8.5703125" style="204" customWidth="1"/>
    <col min="40" max="40" width="8.7109375" style="204" customWidth="1"/>
    <col min="41" max="41" width="10.140625" style="204" customWidth="1"/>
    <col min="42" max="42" width="7" style="204" customWidth="1"/>
    <col min="43" max="43" width="7.5703125" style="204" customWidth="1"/>
    <col min="44" max="44" width="7.7109375" style="204" customWidth="1"/>
    <col min="45" max="46" width="8.7109375" style="204" customWidth="1"/>
    <col min="47" max="47" width="10" style="204" customWidth="1"/>
    <col min="48" max="48" width="1.28515625" style="204" customWidth="1"/>
    <col min="49" max="49" width="18.28515625" style="204" hidden="1" customWidth="1"/>
    <col min="50" max="16384" width="9.140625" style="204"/>
  </cols>
  <sheetData>
    <row r="1" spans="1:56" ht="23.1" customHeight="1">
      <c r="A1" s="209"/>
      <c r="B1" s="1697" t="s">
        <v>199</v>
      </c>
      <c r="C1" s="1697"/>
      <c r="D1" s="1697"/>
      <c r="E1" s="1697"/>
      <c r="F1" s="1697"/>
      <c r="G1" s="1697"/>
      <c r="H1" s="1697"/>
      <c r="I1" s="1697"/>
      <c r="J1" s="1697"/>
      <c r="K1" s="350"/>
      <c r="L1" s="350"/>
      <c r="M1" s="350"/>
      <c r="N1" s="350"/>
      <c r="O1" s="350"/>
      <c r="P1" s="350"/>
      <c r="Q1" s="350"/>
      <c r="R1" s="350"/>
      <c r="S1" s="350"/>
      <c r="T1" s="350"/>
      <c r="U1" s="350"/>
      <c r="V1" s="350"/>
      <c r="W1" s="350"/>
      <c r="X1" s="350"/>
      <c r="Y1" s="350"/>
      <c r="Z1" s="350"/>
      <c r="AA1" s="351"/>
      <c r="AB1" s="351"/>
      <c r="AC1" s="351"/>
      <c r="AD1" s="351"/>
      <c r="AE1" s="351"/>
      <c r="AF1" s="351"/>
      <c r="AG1" s="351"/>
      <c r="AH1" s="351"/>
      <c r="AI1" s="351"/>
      <c r="AJ1" s="351"/>
      <c r="AK1" s="351"/>
      <c r="AL1" s="351"/>
      <c r="AM1" s="351"/>
      <c r="AN1" s="351"/>
      <c r="AO1" s="351"/>
      <c r="AP1" s="351"/>
      <c r="AQ1" s="351"/>
      <c r="AR1" s="351"/>
      <c r="AS1" s="351"/>
      <c r="AT1" s="351"/>
      <c r="AU1" s="351"/>
    </row>
    <row r="2" spans="1:56" ht="23.1" customHeight="1">
      <c r="A2" s="209"/>
      <c r="B2" s="1698" t="s">
        <v>692</v>
      </c>
      <c r="C2" s="1698"/>
      <c r="D2" s="1698"/>
      <c r="E2" s="1698"/>
      <c r="F2" s="1698"/>
      <c r="G2" s="1698"/>
      <c r="H2" s="1698"/>
      <c r="I2" s="1698"/>
      <c r="J2" s="1698"/>
      <c r="K2" s="352"/>
      <c r="L2" s="352"/>
      <c r="M2" s="352"/>
      <c r="N2" s="352"/>
      <c r="O2" s="352"/>
      <c r="P2" s="352"/>
      <c r="Q2" s="352"/>
      <c r="R2" s="352"/>
      <c r="S2" s="352"/>
      <c r="T2" s="352"/>
      <c r="U2" s="352"/>
      <c r="V2" s="352"/>
      <c r="W2" s="352"/>
      <c r="X2" s="352"/>
      <c r="Y2" s="352"/>
      <c r="Z2" s="352"/>
      <c r="AA2" s="353"/>
      <c r="AB2" s="353"/>
      <c r="AC2" s="353"/>
      <c r="AD2" s="353"/>
      <c r="AE2" s="353"/>
      <c r="AF2" s="353"/>
      <c r="AG2" s="353"/>
      <c r="AH2" s="353"/>
      <c r="AI2" s="353"/>
      <c r="AJ2" s="353"/>
      <c r="AK2" s="353"/>
      <c r="AL2" s="353"/>
      <c r="AM2" s="353"/>
      <c r="AN2" s="353"/>
      <c r="AO2" s="353"/>
      <c r="AP2" s="353"/>
      <c r="AQ2" s="353"/>
      <c r="AR2" s="353"/>
      <c r="AS2" s="353"/>
      <c r="AT2" s="353"/>
      <c r="AU2" s="353"/>
    </row>
    <row r="3" spans="1:56" ht="23.1" customHeight="1">
      <c r="A3" s="209"/>
      <c r="B3" s="354"/>
      <c r="C3" s="1699" t="s">
        <v>284</v>
      </c>
      <c r="D3" s="1699"/>
      <c r="E3" s="1699"/>
      <c r="F3" s="1699"/>
      <c r="G3" s="1699"/>
      <c r="H3" s="1699"/>
      <c r="I3" s="1699"/>
      <c r="J3" s="1699"/>
      <c r="K3" s="355"/>
      <c r="L3" s="355"/>
      <c r="M3" s="355"/>
      <c r="N3" s="355"/>
      <c r="O3" s="355"/>
      <c r="P3" s="355"/>
      <c r="Q3" s="355"/>
      <c r="R3" s="355"/>
      <c r="S3" s="355"/>
      <c r="T3" s="355"/>
      <c r="U3" s="355"/>
      <c r="V3" s="355"/>
      <c r="W3" s="355"/>
      <c r="X3" s="355"/>
      <c r="Y3" s="355"/>
      <c r="Z3" s="355"/>
      <c r="AA3" s="356"/>
      <c r="AB3" s="356"/>
      <c r="AC3" s="356"/>
      <c r="AD3" s="356"/>
      <c r="AE3" s="356"/>
      <c r="AF3" s="356"/>
      <c r="AG3" s="356"/>
      <c r="AH3" s="356"/>
      <c r="AI3" s="356"/>
      <c r="AJ3" s="356"/>
      <c r="AK3" s="356"/>
      <c r="AL3" s="356"/>
      <c r="AM3" s="356"/>
      <c r="AN3" s="356"/>
      <c r="AO3" s="356"/>
      <c r="AP3" s="356"/>
      <c r="AQ3" s="356"/>
      <c r="AR3" s="356"/>
      <c r="AS3" s="356"/>
      <c r="AT3" s="356"/>
      <c r="AU3" s="356"/>
    </row>
    <row r="4" spans="1:56" ht="23.1" customHeight="1" thickBot="1">
      <c r="A4" s="209"/>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row>
    <row r="5" spans="1:56" ht="18" customHeight="1" thickTop="1">
      <c r="A5" s="209"/>
      <c r="B5" s="1684" t="s">
        <v>3</v>
      </c>
      <c r="C5" s="1685"/>
      <c r="D5" s="1690" t="s">
        <v>40</v>
      </c>
      <c r="E5" s="1680" t="s">
        <v>158</v>
      </c>
      <c r="F5" s="1681"/>
      <c r="G5" s="210"/>
      <c r="H5" s="1668" t="s">
        <v>333</v>
      </c>
      <c r="I5" s="1669"/>
      <c r="J5" s="1669"/>
      <c r="K5" s="1669"/>
      <c r="L5" s="1669"/>
      <c r="M5" s="1669"/>
      <c r="N5" s="1669"/>
      <c r="O5" s="1669"/>
      <c r="P5" s="1669"/>
      <c r="Q5" s="1669"/>
      <c r="R5" s="1669"/>
      <c r="S5" s="1669"/>
      <c r="T5" s="1669"/>
      <c r="U5" s="1669"/>
      <c r="V5" s="1669"/>
      <c r="W5" s="1669"/>
      <c r="X5" s="1669"/>
      <c r="Y5" s="1669"/>
      <c r="Z5" s="1669"/>
      <c r="AA5" s="1670"/>
      <c r="AB5" s="1673" t="s">
        <v>718</v>
      </c>
      <c r="AC5" s="1674"/>
      <c r="AD5" s="1674"/>
      <c r="AE5" s="1675"/>
      <c r="AF5" s="1675"/>
      <c r="AG5" s="1675"/>
      <c r="AH5" s="1675"/>
      <c r="AI5" s="1675"/>
      <c r="AJ5" s="1675"/>
      <c r="AK5" s="1675"/>
      <c r="AL5" s="1675"/>
      <c r="AM5" s="1675"/>
      <c r="AN5" s="1675"/>
      <c r="AO5" s="1675"/>
      <c r="AP5" s="1675"/>
      <c r="AQ5" s="1675"/>
      <c r="AR5" s="1675"/>
      <c r="AS5" s="1675"/>
      <c r="AT5" s="1675"/>
      <c r="AU5" s="1676"/>
      <c r="AV5" s="737"/>
      <c r="AW5" s="1577" t="s">
        <v>716</v>
      </c>
    </row>
    <row r="6" spans="1:56" ht="16.149999999999999" customHeight="1">
      <c r="A6" s="209"/>
      <c r="B6" s="1686"/>
      <c r="C6" s="1687"/>
      <c r="D6" s="1691"/>
      <c r="E6" s="1682"/>
      <c r="F6" s="1683"/>
      <c r="G6" s="210"/>
      <c r="H6" s="1671"/>
      <c r="I6" s="1607"/>
      <c r="J6" s="1607"/>
      <c r="K6" s="1607"/>
      <c r="L6" s="1607"/>
      <c r="M6" s="1607"/>
      <c r="N6" s="1607"/>
      <c r="O6" s="1607"/>
      <c r="P6" s="1607"/>
      <c r="Q6" s="1607"/>
      <c r="R6" s="1607"/>
      <c r="S6" s="1607"/>
      <c r="T6" s="1607"/>
      <c r="U6" s="1607"/>
      <c r="V6" s="1607"/>
      <c r="W6" s="1607"/>
      <c r="X6" s="1607"/>
      <c r="Y6" s="1607"/>
      <c r="Z6" s="1607"/>
      <c r="AA6" s="1672"/>
      <c r="AB6" s="1677"/>
      <c r="AC6" s="1607"/>
      <c r="AD6" s="1607"/>
      <c r="AE6" s="1672"/>
      <c r="AF6" s="1672"/>
      <c r="AG6" s="1672"/>
      <c r="AH6" s="1672"/>
      <c r="AI6" s="1672"/>
      <c r="AJ6" s="1672"/>
      <c r="AK6" s="1672"/>
      <c r="AL6" s="1672"/>
      <c r="AM6" s="1672"/>
      <c r="AN6" s="1672"/>
      <c r="AO6" s="1672"/>
      <c r="AP6" s="1672"/>
      <c r="AQ6" s="1672"/>
      <c r="AR6" s="1672"/>
      <c r="AS6" s="1672"/>
      <c r="AT6" s="1672"/>
      <c r="AU6" s="1678"/>
      <c r="AV6" s="205"/>
      <c r="AW6" s="1577"/>
      <c r="AX6" s="205"/>
      <c r="BD6" s="205"/>
    </row>
    <row r="7" spans="1:56" ht="32.25" customHeight="1" thickBot="1">
      <c r="A7" s="209"/>
      <c r="B7" s="1688"/>
      <c r="C7" s="1689"/>
      <c r="D7" s="1692"/>
      <c r="E7" s="835" t="s">
        <v>226</v>
      </c>
      <c r="F7" s="402" t="s">
        <v>227</v>
      </c>
      <c r="G7" s="210"/>
      <c r="H7" s="211" t="s">
        <v>242</v>
      </c>
      <c r="I7" s="212" t="s">
        <v>243</v>
      </c>
      <c r="J7" s="212" t="s">
        <v>244</v>
      </c>
      <c r="K7" s="228" t="s">
        <v>317</v>
      </c>
      <c r="L7" s="213" t="s">
        <v>245</v>
      </c>
      <c r="M7" s="213" t="s">
        <v>318</v>
      </c>
      <c r="N7" s="213" t="s">
        <v>319</v>
      </c>
      <c r="O7" s="228" t="s">
        <v>320</v>
      </c>
      <c r="P7" s="227" t="s">
        <v>323</v>
      </c>
      <c r="Q7" s="213" t="s">
        <v>321</v>
      </c>
      <c r="R7" s="213" t="s">
        <v>322</v>
      </c>
      <c r="S7" s="213" t="s">
        <v>324</v>
      </c>
      <c r="T7" s="228" t="s">
        <v>325</v>
      </c>
      <c r="U7" s="229" t="s">
        <v>327</v>
      </c>
      <c r="V7" s="213" t="s">
        <v>328</v>
      </c>
      <c r="W7" s="213" t="s">
        <v>329</v>
      </c>
      <c r="X7" s="213" t="s">
        <v>330</v>
      </c>
      <c r="Y7" s="228" t="s">
        <v>331</v>
      </c>
      <c r="Z7" s="227" t="s">
        <v>326</v>
      </c>
      <c r="AA7" s="230" t="s">
        <v>332</v>
      </c>
      <c r="AB7" s="214" t="s">
        <v>242</v>
      </c>
      <c r="AC7" s="212" t="s">
        <v>243</v>
      </c>
      <c r="AD7" s="212" t="s">
        <v>244</v>
      </c>
      <c r="AE7" s="228" t="s">
        <v>317</v>
      </c>
      <c r="AF7" s="213" t="s">
        <v>245</v>
      </c>
      <c r="AG7" s="213" t="s">
        <v>318</v>
      </c>
      <c r="AH7" s="213" t="s">
        <v>319</v>
      </c>
      <c r="AI7" s="228" t="s">
        <v>320</v>
      </c>
      <c r="AJ7" s="227" t="s">
        <v>323</v>
      </c>
      <c r="AK7" s="213" t="s">
        <v>321</v>
      </c>
      <c r="AL7" s="213" t="s">
        <v>322</v>
      </c>
      <c r="AM7" s="213" t="s">
        <v>324</v>
      </c>
      <c r="AN7" s="228" t="s">
        <v>325</v>
      </c>
      <c r="AO7" s="229" t="s">
        <v>327</v>
      </c>
      <c r="AP7" s="213" t="s">
        <v>328</v>
      </c>
      <c r="AQ7" s="213" t="s">
        <v>329</v>
      </c>
      <c r="AR7" s="213" t="s">
        <v>330</v>
      </c>
      <c r="AS7" s="228" t="s">
        <v>331</v>
      </c>
      <c r="AT7" s="227" t="s">
        <v>326</v>
      </c>
      <c r="AU7" s="968" t="s">
        <v>332</v>
      </c>
      <c r="AW7" s="1577"/>
    </row>
    <row r="8" spans="1:56" ht="21.6" customHeight="1">
      <c r="A8" s="209"/>
      <c r="B8" s="1242" t="s">
        <v>0</v>
      </c>
      <c r="C8" s="1243"/>
      <c r="D8" s="1244"/>
      <c r="E8" s="1245"/>
      <c r="F8" s="1246"/>
      <c r="G8" s="1247"/>
      <c r="H8" s="1248"/>
      <c r="I8" s="1249"/>
      <c r="J8" s="1249"/>
      <c r="K8" s="1250"/>
      <c r="L8" s="1250"/>
      <c r="M8" s="1250"/>
      <c r="N8" s="1250"/>
      <c r="O8" s="1250"/>
      <c r="P8" s="1251"/>
      <c r="Q8" s="1250"/>
      <c r="R8" s="1250"/>
      <c r="S8" s="1250"/>
      <c r="T8" s="1250"/>
      <c r="U8" s="1250"/>
      <c r="V8" s="1250"/>
      <c r="W8" s="1250"/>
      <c r="X8" s="1250"/>
      <c r="Y8" s="1250"/>
      <c r="Z8" s="1250"/>
      <c r="AA8" s="1252"/>
      <c r="AB8" s="1253"/>
      <c r="AC8" s="1254"/>
      <c r="AD8" s="1254"/>
      <c r="AE8" s="1252"/>
      <c r="AF8" s="1252"/>
      <c r="AG8" s="1252"/>
      <c r="AH8" s="1252"/>
      <c r="AI8" s="1252"/>
      <c r="AJ8" s="1252"/>
      <c r="AK8" s="1252"/>
      <c r="AL8" s="1252"/>
      <c r="AM8" s="1252"/>
      <c r="AN8" s="1252"/>
      <c r="AO8" s="1252"/>
      <c r="AP8" s="1252"/>
      <c r="AQ8" s="1252"/>
      <c r="AR8" s="1252"/>
      <c r="AS8" s="1252"/>
      <c r="AT8" s="1252"/>
      <c r="AU8" s="1255"/>
      <c r="AW8" s="734"/>
    </row>
    <row r="9" spans="1:56" ht="21.6" customHeight="1">
      <c r="A9" s="209"/>
      <c r="B9" s="1256" t="s">
        <v>19</v>
      </c>
      <c r="C9" s="1257" t="s">
        <v>717</v>
      </c>
      <c r="D9" s="1258">
        <v>15</v>
      </c>
      <c r="E9" s="1258">
        <v>10.06</v>
      </c>
      <c r="F9" s="1259">
        <v>1.5090000000000001</v>
      </c>
      <c r="G9" s="1247"/>
      <c r="H9" s="1260">
        <v>5.3375259259259256</v>
      </c>
      <c r="I9" s="1261">
        <v>6.8993861111111103</v>
      </c>
      <c r="J9" s="1260">
        <v>7.2558696296296299</v>
      </c>
      <c r="K9" s="1262">
        <v>19.492781666666666</v>
      </c>
      <c r="L9" s="1260">
        <v>0</v>
      </c>
      <c r="M9" s="1260">
        <v>0</v>
      </c>
      <c r="N9" s="1260">
        <v>11.174363783068781</v>
      </c>
      <c r="O9" s="1262">
        <v>11.174363783068781</v>
      </c>
      <c r="P9" s="1263">
        <v>30.667145449735447</v>
      </c>
      <c r="Q9" s="1260">
        <v>0</v>
      </c>
      <c r="R9" s="1260">
        <v>0</v>
      </c>
      <c r="S9" s="1260">
        <v>0.18518518518518517</v>
      </c>
      <c r="T9" s="1262">
        <v>0.18518518518518517</v>
      </c>
      <c r="U9" s="1264">
        <v>30.852330634920634</v>
      </c>
      <c r="V9" s="1260">
        <v>0</v>
      </c>
      <c r="W9" s="1260">
        <v>0</v>
      </c>
      <c r="X9" s="1260">
        <v>0</v>
      </c>
      <c r="Y9" s="1262">
        <v>0</v>
      </c>
      <c r="Z9" s="1263">
        <v>0.18518518518518517</v>
      </c>
      <c r="AA9" s="1265">
        <v>30.852330634920634</v>
      </c>
      <c r="AB9" s="1266">
        <v>0.80062888888888883</v>
      </c>
      <c r="AC9" s="1260">
        <v>1.0349079166666666</v>
      </c>
      <c r="AD9" s="1260">
        <v>1.0883804444444445</v>
      </c>
      <c r="AE9" s="1262">
        <v>2.9239172499999997</v>
      </c>
      <c r="AF9" s="1260">
        <v>0</v>
      </c>
      <c r="AG9" s="1260">
        <v>0</v>
      </c>
      <c r="AH9" s="1260">
        <v>1.6761545674603173</v>
      </c>
      <c r="AI9" s="1262">
        <v>1.6761545674603173</v>
      </c>
      <c r="AJ9" s="1263">
        <v>4.600071817460317</v>
      </c>
      <c r="AK9" s="1260">
        <v>0</v>
      </c>
      <c r="AL9" s="1260">
        <v>0</v>
      </c>
      <c r="AM9" s="1260">
        <v>2.7777777777777776E-2</v>
      </c>
      <c r="AN9" s="1262">
        <v>2.7777777777777776E-2</v>
      </c>
      <c r="AO9" s="1264">
        <v>4.6278495952380947</v>
      </c>
      <c r="AP9" s="1260">
        <v>0</v>
      </c>
      <c r="AQ9" s="1260">
        <v>0</v>
      </c>
      <c r="AR9" s="1260">
        <v>0</v>
      </c>
      <c r="AS9" s="1262">
        <v>0</v>
      </c>
      <c r="AT9" s="1263">
        <v>2.7777777777777776E-2</v>
      </c>
      <c r="AU9" s="1267">
        <v>4.6278495952380947</v>
      </c>
      <c r="AW9" s="735">
        <v>4.600071817460317</v>
      </c>
    </row>
    <row r="10" spans="1:56" ht="21.6" customHeight="1">
      <c r="A10" s="209"/>
      <c r="B10" s="1268" t="s">
        <v>20</v>
      </c>
      <c r="C10" s="1269" t="s">
        <v>110</v>
      </c>
      <c r="D10" s="1258">
        <v>5</v>
      </c>
      <c r="E10" s="1258">
        <v>4.13</v>
      </c>
      <c r="F10" s="1259">
        <v>0.20649999999999999</v>
      </c>
      <c r="G10" s="1247"/>
      <c r="H10" s="1261">
        <v>0.36458333333333331</v>
      </c>
      <c r="I10" s="1261">
        <v>0.36458333333333331</v>
      </c>
      <c r="J10" s="1260">
        <v>0.39583333333333331</v>
      </c>
      <c r="K10" s="1262">
        <v>1.125</v>
      </c>
      <c r="L10" s="1260">
        <v>0</v>
      </c>
      <c r="M10" s="1260">
        <v>0</v>
      </c>
      <c r="N10" s="1260">
        <v>0</v>
      </c>
      <c r="O10" s="1262">
        <v>0</v>
      </c>
      <c r="P10" s="1263">
        <v>1.125</v>
      </c>
      <c r="Q10" s="1260">
        <v>0</v>
      </c>
      <c r="R10" s="1260">
        <v>0</v>
      </c>
      <c r="S10" s="1260">
        <v>0</v>
      </c>
      <c r="T10" s="1262">
        <v>0</v>
      </c>
      <c r="U10" s="1264">
        <v>1.125</v>
      </c>
      <c r="V10" s="1260">
        <v>0</v>
      </c>
      <c r="W10" s="1260">
        <v>0</v>
      </c>
      <c r="X10" s="1260">
        <v>0</v>
      </c>
      <c r="Y10" s="1262">
        <v>0</v>
      </c>
      <c r="Z10" s="1263">
        <v>0</v>
      </c>
      <c r="AA10" s="1265">
        <v>1.125</v>
      </c>
      <c r="AB10" s="1266">
        <v>1.8229166666666664E-2</v>
      </c>
      <c r="AC10" s="1260">
        <v>1.8229166666666664E-2</v>
      </c>
      <c r="AD10" s="1260">
        <v>1.9791666666666666E-2</v>
      </c>
      <c r="AE10" s="1262">
        <v>5.6249999999999994E-2</v>
      </c>
      <c r="AF10" s="1260">
        <v>0</v>
      </c>
      <c r="AG10" s="1260">
        <v>0</v>
      </c>
      <c r="AH10" s="1260">
        <v>0</v>
      </c>
      <c r="AI10" s="1262">
        <v>0</v>
      </c>
      <c r="AJ10" s="1263">
        <v>5.6249999999999994E-2</v>
      </c>
      <c r="AK10" s="1260">
        <v>0</v>
      </c>
      <c r="AL10" s="1260">
        <v>0</v>
      </c>
      <c r="AM10" s="1260">
        <v>0</v>
      </c>
      <c r="AN10" s="1262">
        <v>0</v>
      </c>
      <c r="AO10" s="1264">
        <v>5.6249999999999994E-2</v>
      </c>
      <c r="AP10" s="1260">
        <v>0</v>
      </c>
      <c r="AQ10" s="1260">
        <v>0</v>
      </c>
      <c r="AR10" s="1260">
        <v>0</v>
      </c>
      <c r="AS10" s="1262">
        <v>0</v>
      </c>
      <c r="AT10" s="1263">
        <v>0</v>
      </c>
      <c r="AU10" s="1267">
        <v>5.6249999999999994E-2</v>
      </c>
      <c r="AW10" s="735">
        <v>5.6249999999999994E-2</v>
      </c>
    </row>
    <row r="11" spans="1:56" ht="30.75" customHeight="1">
      <c r="A11" s="209"/>
      <c r="B11" s="1256" t="s">
        <v>21</v>
      </c>
      <c r="C11" s="1270" t="s">
        <v>56</v>
      </c>
      <c r="D11" s="1258">
        <v>15</v>
      </c>
      <c r="E11" s="1258">
        <v>14.05</v>
      </c>
      <c r="F11" s="1259">
        <v>2.1074999999999999</v>
      </c>
      <c r="G11" s="1247"/>
      <c r="H11" s="1260">
        <v>2.1526199999999998</v>
      </c>
      <c r="I11" s="1261">
        <v>3.1380499999999998</v>
      </c>
      <c r="J11" s="1260">
        <v>3.51166</v>
      </c>
      <c r="K11" s="1262">
        <v>8.8023299999999995</v>
      </c>
      <c r="L11" s="1260">
        <v>9.3436000000000003</v>
      </c>
      <c r="M11" s="1260">
        <v>3.508</v>
      </c>
      <c r="N11" s="1260">
        <v>3.7488900000000003</v>
      </c>
      <c r="O11" s="1262">
        <v>16.600490000000001</v>
      </c>
      <c r="P11" s="1263">
        <v>25.402819999999998</v>
      </c>
      <c r="Q11" s="1260">
        <v>3.6277199999999996</v>
      </c>
      <c r="R11" s="1260">
        <v>7.120000000000001</v>
      </c>
      <c r="S11" s="1260">
        <v>5.68</v>
      </c>
      <c r="T11" s="1262">
        <v>16.427720000000001</v>
      </c>
      <c r="U11" s="1264">
        <v>41.830539999999999</v>
      </c>
      <c r="V11" s="1260">
        <v>9.0510680000000008</v>
      </c>
      <c r="W11" s="1260">
        <v>0</v>
      </c>
      <c r="X11" s="1260">
        <v>0</v>
      </c>
      <c r="Y11" s="1262">
        <v>9.0510680000000008</v>
      </c>
      <c r="Z11" s="1263">
        <v>25.478788000000002</v>
      </c>
      <c r="AA11" s="1265">
        <v>50.881608</v>
      </c>
      <c r="AB11" s="1266">
        <v>0.32289299999999999</v>
      </c>
      <c r="AC11" s="1260">
        <v>0.47070749999999995</v>
      </c>
      <c r="AD11" s="1260">
        <v>0.52674900000000002</v>
      </c>
      <c r="AE11" s="1262">
        <v>1.3203494999999998</v>
      </c>
      <c r="AF11" s="1260">
        <v>1.40154</v>
      </c>
      <c r="AG11" s="1260">
        <v>0.5262</v>
      </c>
      <c r="AH11" s="1260">
        <v>0.56233350000000004</v>
      </c>
      <c r="AI11" s="1262">
        <v>2.4900735000000003</v>
      </c>
      <c r="AJ11" s="1263">
        <v>3.8104230000000001</v>
      </c>
      <c r="AK11" s="1260">
        <v>0.54415799999999992</v>
      </c>
      <c r="AL11" s="1260">
        <v>1.0680000000000001</v>
      </c>
      <c r="AM11" s="1260">
        <v>0.85199999999999987</v>
      </c>
      <c r="AN11" s="1262">
        <v>2.4641579999999998</v>
      </c>
      <c r="AO11" s="1264">
        <v>6.2745809999999995</v>
      </c>
      <c r="AP11" s="1260">
        <v>1.3576602000000002</v>
      </c>
      <c r="AQ11" s="1260">
        <v>0</v>
      </c>
      <c r="AR11" s="1260">
        <v>0</v>
      </c>
      <c r="AS11" s="1262">
        <v>1.3576602000000002</v>
      </c>
      <c r="AT11" s="1263">
        <v>3.8218182000000001</v>
      </c>
      <c r="AU11" s="1267">
        <v>7.6322412000000002</v>
      </c>
      <c r="AW11" s="735">
        <v>4.3545809999999996</v>
      </c>
    </row>
    <row r="12" spans="1:56" ht="31.5" customHeight="1">
      <c r="A12" s="209"/>
      <c r="B12" s="1268" t="s">
        <v>22</v>
      </c>
      <c r="C12" s="1271" t="s">
        <v>57</v>
      </c>
      <c r="D12" s="1258">
        <v>15</v>
      </c>
      <c r="E12" s="1258">
        <v>15.06</v>
      </c>
      <c r="F12" s="1259">
        <v>2.2589999999999999</v>
      </c>
      <c r="G12" s="1247"/>
      <c r="H12" s="1260">
        <v>3.0625</v>
      </c>
      <c r="I12" s="1261">
        <v>3.609375</v>
      </c>
      <c r="J12" s="1260">
        <v>3.8187500000000001</v>
      </c>
      <c r="K12" s="1262">
        <v>10.490625</v>
      </c>
      <c r="L12" s="1260">
        <v>4.375</v>
      </c>
      <c r="M12" s="1260">
        <v>10</v>
      </c>
      <c r="N12" s="1260">
        <v>15</v>
      </c>
      <c r="O12" s="1262">
        <v>29.375</v>
      </c>
      <c r="P12" s="1263">
        <v>39.865625000000001</v>
      </c>
      <c r="Q12" s="1260">
        <v>0</v>
      </c>
      <c r="R12" s="1260">
        <v>0</v>
      </c>
      <c r="S12" s="1260">
        <v>0.40625</v>
      </c>
      <c r="T12" s="1262">
        <v>0.40625</v>
      </c>
      <c r="U12" s="1264">
        <v>40.271875000000001</v>
      </c>
      <c r="V12" s="1260">
        <v>0.42656250000000001</v>
      </c>
      <c r="W12" s="1260">
        <v>0</v>
      </c>
      <c r="X12" s="1260">
        <v>0</v>
      </c>
      <c r="Y12" s="1262">
        <v>0.42656250000000001</v>
      </c>
      <c r="Z12" s="1263">
        <v>0.83281249999999996</v>
      </c>
      <c r="AA12" s="1265">
        <v>40.698437500000004</v>
      </c>
      <c r="AB12" s="1266">
        <v>0.45937499999999998</v>
      </c>
      <c r="AC12" s="1260">
        <v>0.54140624999999998</v>
      </c>
      <c r="AD12" s="1260">
        <v>0.57281249999999995</v>
      </c>
      <c r="AE12" s="1262">
        <v>1.5735937499999999</v>
      </c>
      <c r="AF12" s="1260">
        <v>0.65625</v>
      </c>
      <c r="AG12" s="1260">
        <v>1.5</v>
      </c>
      <c r="AH12" s="1260">
        <v>2.25</v>
      </c>
      <c r="AI12" s="1262">
        <v>4.40625</v>
      </c>
      <c r="AJ12" s="1263">
        <v>5.9798437499999997</v>
      </c>
      <c r="AK12" s="1260">
        <v>0</v>
      </c>
      <c r="AL12" s="1260">
        <v>0</v>
      </c>
      <c r="AM12" s="1260">
        <v>6.0937499999999999E-2</v>
      </c>
      <c r="AN12" s="1262">
        <v>6.0937499999999999E-2</v>
      </c>
      <c r="AO12" s="1264">
        <v>6.0407812499999993</v>
      </c>
      <c r="AP12" s="1260">
        <v>6.3984374999999996E-2</v>
      </c>
      <c r="AQ12" s="1260">
        <v>0</v>
      </c>
      <c r="AR12" s="1260">
        <v>0</v>
      </c>
      <c r="AS12" s="1262">
        <v>6.3984374999999996E-2</v>
      </c>
      <c r="AT12" s="1263">
        <v>0.12492187499999999</v>
      </c>
      <c r="AU12" s="1267">
        <v>6.1047656249999998</v>
      </c>
      <c r="AW12" s="735">
        <v>5.9798437499999997</v>
      </c>
    </row>
    <row r="13" spans="1:56" ht="24.95" customHeight="1">
      <c r="A13" s="209"/>
      <c r="B13" s="1272" t="s">
        <v>23</v>
      </c>
      <c r="C13" s="1269" t="s">
        <v>39</v>
      </c>
      <c r="D13" s="1258">
        <v>5</v>
      </c>
      <c r="E13" s="1258">
        <v>16</v>
      </c>
      <c r="F13" s="1259">
        <v>0.8</v>
      </c>
      <c r="G13" s="1273"/>
      <c r="H13" s="1260">
        <v>0</v>
      </c>
      <c r="I13" s="1261">
        <v>0</v>
      </c>
      <c r="J13" s="1260">
        <v>0</v>
      </c>
      <c r="K13" s="1262">
        <v>0</v>
      </c>
      <c r="L13" s="1260">
        <v>10</v>
      </c>
      <c r="M13" s="1260">
        <v>10.4</v>
      </c>
      <c r="N13" s="1260">
        <v>3</v>
      </c>
      <c r="O13" s="1262">
        <v>23.4</v>
      </c>
      <c r="P13" s="1263">
        <v>23.4</v>
      </c>
      <c r="Q13" s="1260">
        <v>0</v>
      </c>
      <c r="R13" s="1260">
        <v>0</v>
      </c>
      <c r="S13" s="1260">
        <v>4.155555555555555</v>
      </c>
      <c r="T13" s="1262">
        <v>4.155555555555555</v>
      </c>
      <c r="U13" s="1264">
        <v>27.555555555555554</v>
      </c>
      <c r="V13" s="1260">
        <v>4.3633333333333333</v>
      </c>
      <c r="W13" s="1260">
        <v>0</v>
      </c>
      <c r="X13" s="1260">
        <v>0</v>
      </c>
      <c r="Y13" s="1262">
        <v>4.3633333333333333</v>
      </c>
      <c r="Z13" s="1263">
        <v>8.5188888888888883</v>
      </c>
      <c r="AA13" s="1265">
        <v>31.918888888888887</v>
      </c>
      <c r="AB13" s="1266">
        <v>0</v>
      </c>
      <c r="AC13" s="1260">
        <v>0</v>
      </c>
      <c r="AD13" s="1260">
        <v>0</v>
      </c>
      <c r="AE13" s="1262">
        <v>0</v>
      </c>
      <c r="AF13" s="1260">
        <v>0.5</v>
      </c>
      <c r="AG13" s="1260">
        <v>0.52</v>
      </c>
      <c r="AH13" s="1260">
        <v>0.15</v>
      </c>
      <c r="AI13" s="1262">
        <v>1.17</v>
      </c>
      <c r="AJ13" s="1263">
        <v>1.17</v>
      </c>
      <c r="AK13" s="1260">
        <v>0</v>
      </c>
      <c r="AL13" s="1260">
        <v>0</v>
      </c>
      <c r="AM13" s="1260">
        <v>0.20777777777777776</v>
      </c>
      <c r="AN13" s="1262">
        <v>0.20777777777777776</v>
      </c>
      <c r="AO13" s="1264">
        <v>1.3777777777777778</v>
      </c>
      <c r="AP13" s="1260">
        <v>0.21816666666666668</v>
      </c>
      <c r="AQ13" s="1260">
        <v>0</v>
      </c>
      <c r="AR13" s="1260">
        <v>0</v>
      </c>
      <c r="AS13" s="1262">
        <v>0.21816666666666668</v>
      </c>
      <c r="AT13" s="1263">
        <v>0.42594444444444446</v>
      </c>
      <c r="AU13" s="1267">
        <v>1.5959444444444444</v>
      </c>
      <c r="AW13" s="735">
        <v>1.17</v>
      </c>
    </row>
    <row r="14" spans="1:56" ht="24.95" customHeight="1">
      <c r="A14" s="209"/>
      <c r="B14" s="1272" t="s">
        <v>24</v>
      </c>
      <c r="C14" s="1269" t="s">
        <v>181</v>
      </c>
      <c r="D14" s="1258">
        <v>4</v>
      </c>
      <c r="E14" s="1258">
        <v>7.07</v>
      </c>
      <c r="F14" s="1259">
        <v>0.2828</v>
      </c>
      <c r="G14" s="1273"/>
      <c r="H14" s="1260">
        <v>4.8401599999999996E-3</v>
      </c>
      <c r="I14" s="1261">
        <v>1.6982794999999999</v>
      </c>
      <c r="J14" s="1260">
        <v>1.9482695000000001</v>
      </c>
      <c r="K14" s="1262">
        <v>3.6513891599999999</v>
      </c>
      <c r="L14" s="1260">
        <v>0</v>
      </c>
      <c r="M14" s="1260">
        <v>5.0000000000000001E-3</v>
      </c>
      <c r="N14" s="1260">
        <v>1.6666666666666666E-2</v>
      </c>
      <c r="O14" s="1262">
        <v>2.1666666666666667E-2</v>
      </c>
      <c r="P14" s="1263">
        <v>3.6730558266666664</v>
      </c>
      <c r="Q14" s="1260">
        <v>4.1666666666666666E-3</v>
      </c>
      <c r="R14" s="1260">
        <v>4.5833333333333337E-2</v>
      </c>
      <c r="S14" s="1260">
        <v>0.13333333333333333</v>
      </c>
      <c r="T14" s="1262">
        <v>0.18333333333333335</v>
      </c>
      <c r="U14" s="1264">
        <v>3.85638916</v>
      </c>
      <c r="V14" s="1260">
        <v>0.14000000000000001</v>
      </c>
      <c r="W14" s="1260">
        <v>0</v>
      </c>
      <c r="X14" s="1260">
        <v>0</v>
      </c>
      <c r="Y14" s="1262">
        <v>0.14000000000000001</v>
      </c>
      <c r="Z14" s="1263">
        <v>0.32333333333333336</v>
      </c>
      <c r="AA14" s="1265">
        <v>3.9963891599999997</v>
      </c>
      <c r="AB14" s="1266">
        <v>1.9360639999999998E-4</v>
      </c>
      <c r="AC14" s="1260">
        <v>6.7931179999999994E-2</v>
      </c>
      <c r="AD14" s="1260">
        <v>7.7930780000000005E-2</v>
      </c>
      <c r="AE14" s="1262">
        <v>0.1460555664</v>
      </c>
      <c r="AF14" s="1260">
        <v>0</v>
      </c>
      <c r="AG14" s="1260">
        <v>2.0000000000000001E-4</v>
      </c>
      <c r="AH14" s="1260">
        <v>6.6666666666666664E-4</v>
      </c>
      <c r="AI14" s="1262">
        <v>8.6666666666666663E-4</v>
      </c>
      <c r="AJ14" s="1263">
        <v>0.14692223306666666</v>
      </c>
      <c r="AK14" s="1260">
        <v>1.6666666666666666E-4</v>
      </c>
      <c r="AL14" s="1260">
        <v>1.8333333333333335E-3</v>
      </c>
      <c r="AM14" s="1260">
        <v>5.3333333333333332E-3</v>
      </c>
      <c r="AN14" s="1262">
        <v>7.3333333333333332E-3</v>
      </c>
      <c r="AO14" s="1264">
        <v>0.15425556639999999</v>
      </c>
      <c r="AP14" s="1260">
        <v>5.6000000000000008E-3</v>
      </c>
      <c r="AQ14" s="1260">
        <v>0</v>
      </c>
      <c r="AR14" s="1260">
        <v>0</v>
      </c>
      <c r="AS14" s="1262">
        <v>5.6000000000000008E-3</v>
      </c>
      <c r="AT14" s="1263">
        <v>1.2933333333333335E-2</v>
      </c>
      <c r="AU14" s="1267">
        <v>0.15985556639999998</v>
      </c>
      <c r="AW14" s="735">
        <v>0.14708889973333333</v>
      </c>
    </row>
    <row r="15" spans="1:56" ht="24.95" customHeight="1">
      <c r="A15" s="209"/>
      <c r="B15" s="1272" t="s">
        <v>25</v>
      </c>
      <c r="C15" s="1269" t="s">
        <v>182</v>
      </c>
      <c r="D15" s="1258">
        <v>4</v>
      </c>
      <c r="E15" s="1258">
        <v>7.47</v>
      </c>
      <c r="F15" s="1259">
        <v>0.29880000000000001</v>
      </c>
      <c r="G15" s="1273"/>
      <c r="H15" s="1260">
        <v>0</v>
      </c>
      <c r="I15" s="1261">
        <v>2.3833799999999998</v>
      </c>
      <c r="J15" s="1260">
        <v>2.4481124999999997</v>
      </c>
      <c r="K15" s="1262">
        <v>4.8314924999999995</v>
      </c>
      <c r="L15" s="1260">
        <v>0</v>
      </c>
      <c r="M15" s="1260">
        <v>0</v>
      </c>
      <c r="N15" s="1260">
        <v>1.6666666666666666E-2</v>
      </c>
      <c r="O15" s="1262">
        <v>1.6666666666666666E-2</v>
      </c>
      <c r="P15" s="1263">
        <v>4.8481591666666661</v>
      </c>
      <c r="Q15" s="1260">
        <v>6.6666666666666671E-3</v>
      </c>
      <c r="R15" s="1260">
        <v>6.6666666666666666E-2</v>
      </c>
      <c r="S15" s="1260">
        <v>0.2</v>
      </c>
      <c r="T15" s="1262">
        <v>0.27333333333333332</v>
      </c>
      <c r="U15" s="1264">
        <v>5.1214924999999996</v>
      </c>
      <c r="V15" s="1260">
        <v>0.21000000000000002</v>
      </c>
      <c r="W15" s="1260">
        <v>0</v>
      </c>
      <c r="X15" s="1260">
        <v>0</v>
      </c>
      <c r="Y15" s="1262">
        <v>0.21000000000000002</v>
      </c>
      <c r="Z15" s="1263">
        <v>0.48333333333333334</v>
      </c>
      <c r="AA15" s="1265">
        <v>5.3314924999999995</v>
      </c>
      <c r="AB15" s="1266">
        <v>0</v>
      </c>
      <c r="AC15" s="1260">
        <v>9.5335199999999995E-2</v>
      </c>
      <c r="AD15" s="1260">
        <v>9.7924499999999984E-2</v>
      </c>
      <c r="AE15" s="1262">
        <v>0.19325969999999998</v>
      </c>
      <c r="AF15" s="1260">
        <v>0</v>
      </c>
      <c r="AG15" s="1260">
        <v>0</v>
      </c>
      <c r="AH15" s="1260">
        <v>6.6666666666666664E-4</v>
      </c>
      <c r="AI15" s="1262">
        <v>6.6666666666666664E-4</v>
      </c>
      <c r="AJ15" s="1263">
        <v>0.19392636666666666</v>
      </c>
      <c r="AK15" s="1260">
        <v>2.6666666666666668E-4</v>
      </c>
      <c r="AL15" s="1260">
        <v>2.6666666666666666E-3</v>
      </c>
      <c r="AM15" s="1260">
        <v>8.0000000000000002E-3</v>
      </c>
      <c r="AN15" s="1262">
        <v>1.0933333333333333E-2</v>
      </c>
      <c r="AO15" s="1264">
        <v>0.20485969999999998</v>
      </c>
      <c r="AP15" s="1260">
        <v>8.4000000000000012E-3</v>
      </c>
      <c r="AQ15" s="1260">
        <v>0</v>
      </c>
      <c r="AR15" s="1260">
        <v>0</v>
      </c>
      <c r="AS15" s="1262">
        <v>8.4000000000000012E-3</v>
      </c>
      <c r="AT15" s="1263">
        <v>1.9333333333333334E-2</v>
      </c>
      <c r="AU15" s="1267">
        <v>0.2132597</v>
      </c>
      <c r="AW15" s="735">
        <v>0.19419303333333332</v>
      </c>
      <c r="AX15" s="206"/>
    </row>
    <row r="16" spans="1:56" ht="34.5" customHeight="1">
      <c r="A16" s="209"/>
      <c r="B16" s="1274" t="s">
        <v>165</v>
      </c>
      <c r="C16" s="1275" t="s">
        <v>792</v>
      </c>
      <c r="D16" s="1276">
        <v>2</v>
      </c>
      <c r="E16" s="1276">
        <v>0.7</v>
      </c>
      <c r="F16" s="1259">
        <v>1.3999999999999999E-2</v>
      </c>
      <c r="G16" s="1273"/>
      <c r="H16" s="1261">
        <v>3.1211199999999999</v>
      </c>
      <c r="I16" s="1261">
        <v>2.1442000000000001</v>
      </c>
      <c r="J16" s="1261">
        <v>3.1211199999999999</v>
      </c>
      <c r="K16" s="1262">
        <v>8.3864400000000003</v>
      </c>
      <c r="L16" s="1260">
        <v>8.48</v>
      </c>
      <c r="M16" s="1260">
        <v>9.6000000000000014</v>
      </c>
      <c r="N16" s="1260">
        <v>1.8199999999999998</v>
      </c>
      <c r="O16" s="1262">
        <v>19.900000000000002</v>
      </c>
      <c r="P16" s="1263">
        <v>28.286440000000002</v>
      </c>
      <c r="Q16" s="1260">
        <v>0.1</v>
      </c>
      <c r="R16" s="1260">
        <v>2.52</v>
      </c>
      <c r="S16" s="1260">
        <v>6.5360000000000005</v>
      </c>
      <c r="T16" s="1262">
        <v>9.1560000000000006</v>
      </c>
      <c r="U16" s="1264">
        <v>37.442440000000005</v>
      </c>
      <c r="V16" s="1260">
        <v>6.8628</v>
      </c>
      <c r="W16" s="1260">
        <v>0</v>
      </c>
      <c r="X16" s="1260">
        <v>0</v>
      </c>
      <c r="Y16" s="1262">
        <v>6.8628</v>
      </c>
      <c r="Z16" s="1263">
        <v>16.018799999999999</v>
      </c>
      <c r="AA16" s="1265">
        <v>44.305239999999998</v>
      </c>
      <c r="AB16" s="1266">
        <v>6.2422399999999996E-2</v>
      </c>
      <c r="AC16" s="1260">
        <v>4.2884000000000005E-2</v>
      </c>
      <c r="AD16" s="1260">
        <v>6.2422399999999996E-2</v>
      </c>
      <c r="AE16" s="1277">
        <v>0.16772879999999998</v>
      </c>
      <c r="AF16" s="1260">
        <v>0.1696</v>
      </c>
      <c r="AG16" s="1260">
        <v>0.19200000000000003</v>
      </c>
      <c r="AH16" s="1260">
        <v>3.6399999999999995E-2</v>
      </c>
      <c r="AI16" s="1262">
        <v>0.39800000000000002</v>
      </c>
      <c r="AJ16" s="1263">
        <v>0.56572880000000003</v>
      </c>
      <c r="AK16" s="1260">
        <v>2E-3</v>
      </c>
      <c r="AL16" s="1260">
        <v>5.04E-2</v>
      </c>
      <c r="AM16" s="1260">
        <v>0.13072</v>
      </c>
      <c r="AN16" s="1262">
        <v>0.18312</v>
      </c>
      <c r="AO16" s="1264">
        <v>0.74884879999999998</v>
      </c>
      <c r="AP16" s="1260">
        <v>0.13725599999999999</v>
      </c>
      <c r="AQ16" s="1260">
        <v>0</v>
      </c>
      <c r="AR16" s="1260">
        <v>0</v>
      </c>
      <c r="AS16" s="1262">
        <v>0.13725599999999999</v>
      </c>
      <c r="AT16" s="1263">
        <v>0.32037599999999999</v>
      </c>
      <c r="AU16" s="1267">
        <v>0.88610480000000003</v>
      </c>
      <c r="AW16" s="735">
        <v>0.56772880000000003</v>
      </c>
      <c r="AX16" s="206"/>
    </row>
    <row r="17" spans="1:50" ht="24.95" customHeight="1" thickBot="1">
      <c r="A17" s="209"/>
      <c r="B17" s="1274"/>
      <c r="C17" s="1278" t="s">
        <v>113</v>
      </c>
      <c r="D17" s="1279">
        <v>65</v>
      </c>
      <c r="E17" s="1280"/>
      <c r="F17" s="1281">
        <v>7.4775999999999998</v>
      </c>
      <c r="G17" s="1282"/>
      <c r="H17" s="1283">
        <v>14.043189419259258</v>
      </c>
      <c r="I17" s="1283">
        <v>20.237253944444443</v>
      </c>
      <c r="J17" s="1283">
        <v>22.499614962962966</v>
      </c>
      <c r="K17" s="1283">
        <v>56.780058326666669</v>
      </c>
      <c r="L17" s="1283">
        <v>32.198599999999999</v>
      </c>
      <c r="M17" s="1283">
        <v>33.513000000000005</v>
      </c>
      <c r="N17" s="1283">
        <v>34.776587116402112</v>
      </c>
      <c r="O17" s="1284">
        <v>100.48818711640212</v>
      </c>
      <c r="P17" s="1285">
        <v>157.26824544306879</v>
      </c>
      <c r="Q17" s="1283">
        <v>3.7385533333333334</v>
      </c>
      <c r="R17" s="1283">
        <v>9.7525000000000013</v>
      </c>
      <c r="S17" s="1283">
        <v>17.296324074074072</v>
      </c>
      <c r="T17" s="1284">
        <v>30.787377407407412</v>
      </c>
      <c r="U17" s="1286">
        <v>188.05562285047617</v>
      </c>
      <c r="V17" s="1283">
        <v>21.053763833333335</v>
      </c>
      <c r="W17" s="1283">
        <v>0</v>
      </c>
      <c r="X17" s="1283">
        <v>0</v>
      </c>
      <c r="Y17" s="1284">
        <v>21.053763833333335</v>
      </c>
      <c r="Z17" s="1285">
        <v>51.84114124074074</v>
      </c>
      <c r="AA17" s="1287">
        <v>209.10938668380953</v>
      </c>
      <c r="AB17" s="1288">
        <v>1.6637420619555556</v>
      </c>
      <c r="AC17" s="1283">
        <v>2.2714012133333332</v>
      </c>
      <c r="AD17" s="1283">
        <v>2.4460112911111112</v>
      </c>
      <c r="AE17" s="1284">
        <v>6.3811545663999993</v>
      </c>
      <c r="AF17" s="1283">
        <v>2.7273899999999998</v>
      </c>
      <c r="AG17" s="1283">
        <v>2.7384000000000004</v>
      </c>
      <c r="AH17" s="1283">
        <v>4.6762214007936516</v>
      </c>
      <c r="AI17" s="1284">
        <v>10.142011400793651</v>
      </c>
      <c r="AJ17" s="1263">
        <v>16.523165967193648</v>
      </c>
      <c r="AK17" s="1283">
        <v>0.54659133333333321</v>
      </c>
      <c r="AL17" s="1283">
        <v>1.1229</v>
      </c>
      <c r="AM17" s="1283">
        <v>1.2925463888888888</v>
      </c>
      <c r="AN17" s="1284">
        <v>2.9620377222222221</v>
      </c>
      <c r="AO17" s="1289">
        <v>19.485203689415869</v>
      </c>
      <c r="AP17" s="1283">
        <v>1.7910672416666669</v>
      </c>
      <c r="AQ17" s="1283">
        <v>0</v>
      </c>
      <c r="AR17" s="1283">
        <v>0</v>
      </c>
      <c r="AS17" s="1284">
        <v>1.7910672416666669</v>
      </c>
      <c r="AT17" s="1285">
        <v>4.7531049638888891</v>
      </c>
      <c r="AU17" s="1290">
        <v>21.276270931082536</v>
      </c>
      <c r="AW17" s="735">
        <v>17.06975730052698</v>
      </c>
      <c r="AX17" s="206"/>
    </row>
    <row r="18" spans="1:50" ht="24.95" customHeight="1">
      <c r="A18" s="209"/>
      <c r="B18" s="1638" t="s">
        <v>1</v>
      </c>
      <c r="C18" s="1667"/>
      <c r="D18" s="1639"/>
      <c r="E18" s="1291"/>
      <c r="F18" s="1292"/>
      <c r="G18" s="1293"/>
      <c r="H18" s="1294"/>
      <c r="I18" s="1295"/>
      <c r="J18" s="1295"/>
      <c r="K18" s="1296"/>
      <c r="L18" s="1296"/>
      <c r="M18" s="1296"/>
      <c r="N18" s="1296"/>
      <c r="O18" s="1296"/>
      <c r="P18" s="1297"/>
      <c r="Q18" s="1296"/>
      <c r="R18" s="1296"/>
      <c r="S18" s="1296"/>
      <c r="T18" s="1298"/>
      <c r="U18" s="1299"/>
      <c r="V18" s="1296"/>
      <c r="W18" s="1296"/>
      <c r="X18" s="1296"/>
      <c r="Y18" s="1298"/>
      <c r="Z18" s="1297"/>
      <c r="AA18" s="1296"/>
      <c r="AB18" s="1300"/>
      <c r="AC18" s="1301"/>
      <c r="AD18" s="1301"/>
      <c r="AE18" s="1302"/>
      <c r="AF18" s="1303"/>
      <c r="AG18" s="1303"/>
      <c r="AH18" s="1303"/>
      <c r="AI18" s="1302"/>
      <c r="AJ18" s="1304"/>
      <c r="AK18" s="1303"/>
      <c r="AL18" s="1303"/>
      <c r="AM18" s="1303"/>
      <c r="AN18" s="1302"/>
      <c r="AO18" s="1305"/>
      <c r="AP18" s="1303"/>
      <c r="AQ18" s="1303"/>
      <c r="AR18" s="1303"/>
      <c r="AS18" s="1302"/>
      <c r="AT18" s="1304"/>
      <c r="AU18" s="1306"/>
      <c r="AW18" s="735"/>
    </row>
    <row r="19" spans="1:50" ht="24.95" customHeight="1">
      <c r="A19" s="209"/>
      <c r="B19" s="1307" t="s">
        <v>26</v>
      </c>
      <c r="C19" s="1308" t="s">
        <v>58</v>
      </c>
      <c r="D19" s="1309">
        <v>5</v>
      </c>
      <c r="E19" s="1309">
        <v>6.25</v>
      </c>
      <c r="F19" s="1259">
        <v>0.3125</v>
      </c>
      <c r="G19" s="1273"/>
      <c r="H19" s="1260">
        <v>1.4375</v>
      </c>
      <c r="I19" s="1261">
        <v>1.5625</v>
      </c>
      <c r="J19" s="1260">
        <v>1.8125</v>
      </c>
      <c r="K19" s="1262">
        <v>1.6041666666666665</v>
      </c>
      <c r="L19" s="1260">
        <v>1.8287499999999999</v>
      </c>
      <c r="M19" s="1260">
        <v>0.61</v>
      </c>
      <c r="N19" s="1260">
        <v>3.0874999999999999</v>
      </c>
      <c r="O19" s="1262">
        <v>5.5262500000000001</v>
      </c>
      <c r="P19" s="1263">
        <v>7.1304166666666671</v>
      </c>
      <c r="Q19" s="1260">
        <v>0</v>
      </c>
      <c r="R19" s="1260">
        <v>0.55000000000000004</v>
      </c>
      <c r="S19" s="1260">
        <v>1.0469500000000003</v>
      </c>
      <c r="T19" s="1262">
        <v>1.6041666666666665</v>
      </c>
      <c r="U19" s="1264">
        <v>8.7273666666666667</v>
      </c>
      <c r="V19" s="1260">
        <v>1.0992975</v>
      </c>
      <c r="W19" s="1260">
        <v>0</v>
      </c>
      <c r="X19" s="1260">
        <v>0</v>
      </c>
      <c r="Y19" s="1262">
        <v>1.0992975</v>
      </c>
      <c r="Z19" s="1263">
        <v>2.6962475000000006</v>
      </c>
      <c r="AA19" s="1265">
        <v>9.8266641666666672</v>
      </c>
      <c r="AB19" s="1266">
        <v>7.1874999999999994E-2</v>
      </c>
      <c r="AC19" s="1260">
        <v>7.8125E-2</v>
      </c>
      <c r="AD19" s="1260">
        <v>9.0624999999999997E-2</v>
      </c>
      <c r="AE19" s="1262">
        <v>0.24062499999999998</v>
      </c>
      <c r="AF19" s="1260">
        <v>9.1437499999999991E-2</v>
      </c>
      <c r="AG19" s="1260">
        <v>3.0499999999999999E-2</v>
      </c>
      <c r="AH19" s="1260">
        <v>0.15437500000000001</v>
      </c>
      <c r="AI19" s="1262">
        <v>0.27631250000000002</v>
      </c>
      <c r="AJ19" s="1263">
        <v>0.51693750000000005</v>
      </c>
      <c r="AK19" s="1260">
        <v>0</v>
      </c>
      <c r="AL19" s="1260">
        <v>2.75E-2</v>
      </c>
      <c r="AM19" s="1260">
        <v>5.2347500000000019E-2</v>
      </c>
      <c r="AN19" s="1262">
        <v>7.9847500000000016E-2</v>
      </c>
      <c r="AO19" s="1264">
        <v>0.59678500000000012</v>
      </c>
      <c r="AP19" s="1260">
        <v>5.4964875000000003E-2</v>
      </c>
      <c r="AQ19" s="1260">
        <v>0</v>
      </c>
      <c r="AR19" s="1260">
        <v>0</v>
      </c>
      <c r="AS19" s="1262">
        <v>5.4964875000000003E-2</v>
      </c>
      <c r="AT19" s="1263">
        <v>0.13481237500000001</v>
      </c>
      <c r="AU19" s="1267">
        <v>0.65174987500000003</v>
      </c>
      <c r="AW19" s="735">
        <v>0.51693750000000005</v>
      </c>
      <c r="AX19" s="204" t="s">
        <v>4</v>
      </c>
    </row>
    <row r="20" spans="1:50" ht="24.95" customHeight="1">
      <c r="A20" s="209"/>
      <c r="B20" s="1307" t="s">
        <v>27</v>
      </c>
      <c r="C20" s="1308" t="s">
        <v>54</v>
      </c>
      <c r="D20" s="1309">
        <v>5</v>
      </c>
      <c r="E20" s="1309">
        <v>16.98</v>
      </c>
      <c r="F20" s="1259">
        <v>0.84900000000000009</v>
      </c>
      <c r="G20" s="1273"/>
      <c r="H20" s="1260">
        <v>0.85499999999999998</v>
      </c>
      <c r="I20" s="1261">
        <v>1.71</v>
      </c>
      <c r="J20" s="1260">
        <v>1.7949999999999999</v>
      </c>
      <c r="K20" s="1262">
        <v>1.4533333333333336</v>
      </c>
      <c r="L20" s="1260">
        <v>6</v>
      </c>
      <c r="M20" s="1260">
        <v>6.25</v>
      </c>
      <c r="N20" s="1260">
        <v>1.4923684210526316</v>
      </c>
      <c r="O20" s="1262">
        <v>13.742368421052632</v>
      </c>
      <c r="P20" s="1263">
        <v>15.195701754385963</v>
      </c>
      <c r="Q20" s="1260">
        <v>0.18022368421052634</v>
      </c>
      <c r="R20" s="1260">
        <v>1.4785526315789472</v>
      </c>
      <c r="S20" s="1260">
        <v>18.389999999999997</v>
      </c>
      <c r="T20" s="1262">
        <v>1.4533333333333336</v>
      </c>
      <c r="U20" s="1264">
        <v>35.24447807017544</v>
      </c>
      <c r="V20" s="1260">
        <v>19.309499999999996</v>
      </c>
      <c r="W20" s="1260">
        <v>0</v>
      </c>
      <c r="X20" s="1260">
        <v>0</v>
      </c>
      <c r="Y20" s="1262">
        <v>19.309499999999996</v>
      </c>
      <c r="Z20" s="1263">
        <v>39.358276315789475</v>
      </c>
      <c r="AA20" s="1265">
        <v>54.553978070175447</v>
      </c>
      <c r="AB20" s="1266">
        <v>4.2750000000000003E-2</v>
      </c>
      <c r="AC20" s="1260">
        <v>8.5500000000000007E-2</v>
      </c>
      <c r="AD20" s="1260">
        <v>8.9749999999999996E-2</v>
      </c>
      <c r="AE20" s="1262">
        <v>0.218</v>
      </c>
      <c r="AF20" s="1260">
        <v>0.3</v>
      </c>
      <c r="AG20" s="1260">
        <v>0.3125</v>
      </c>
      <c r="AH20" s="1260">
        <v>7.4618421052631584E-2</v>
      </c>
      <c r="AI20" s="1262">
        <v>0.68711842105263166</v>
      </c>
      <c r="AJ20" s="1263">
        <v>0.90511842105263163</v>
      </c>
      <c r="AK20" s="1260">
        <v>9.0111842105263171E-3</v>
      </c>
      <c r="AL20" s="1260">
        <v>7.3927631578947356E-2</v>
      </c>
      <c r="AM20" s="1260">
        <v>0.91949999999999987</v>
      </c>
      <c r="AN20" s="1262">
        <v>1.0024388157894735</v>
      </c>
      <c r="AO20" s="1264">
        <v>1.9075572368421052</v>
      </c>
      <c r="AP20" s="1260">
        <v>0.96547499999999986</v>
      </c>
      <c r="AQ20" s="1260">
        <v>0</v>
      </c>
      <c r="AR20" s="1260">
        <v>0</v>
      </c>
      <c r="AS20" s="1262">
        <v>0.96547499999999986</v>
      </c>
      <c r="AT20" s="1263">
        <v>1.9679138157894733</v>
      </c>
      <c r="AU20" s="1267">
        <v>2.8730322368421048</v>
      </c>
      <c r="AW20" s="735">
        <v>0.9141296052631579</v>
      </c>
    </row>
    <row r="21" spans="1:50" ht="24.95" customHeight="1">
      <c r="A21" s="209"/>
      <c r="B21" s="1307" t="s">
        <v>28</v>
      </c>
      <c r="C21" s="1308" t="s">
        <v>179</v>
      </c>
      <c r="D21" s="1309">
        <v>3</v>
      </c>
      <c r="E21" s="1309">
        <v>12.1</v>
      </c>
      <c r="F21" s="1259">
        <v>0.36299999999999999</v>
      </c>
      <c r="G21" s="1273"/>
      <c r="H21" s="1260">
        <v>6.4666666666666677</v>
      </c>
      <c r="I21" s="1261">
        <v>19.851851851851855</v>
      </c>
      <c r="J21" s="1260">
        <v>30.201851851851856</v>
      </c>
      <c r="K21" s="1262">
        <v>18.840123456790124</v>
      </c>
      <c r="L21" s="1260">
        <v>2.3240740740740735</v>
      </c>
      <c r="M21" s="1260">
        <v>0.53703703703703698</v>
      </c>
      <c r="N21" s="1260">
        <v>4.4537037037037033</v>
      </c>
      <c r="O21" s="1262">
        <v>7.314814814814814</v>
      </c>
      <c r="P21" s="1263">
        <v>26.154938271604941</v>
      </c>
      <c r="Q21" s="1260">
        <v>1.8518518518518517E-2</v>
      </c>
      <c r="R21" s="1260">
        <v>0.27037037037037037</v>
      </c>
      <c r="S21" s="1260">
        <v>5.4768518518518512</v>
      </c>
      <c r="T21" s="1262">
        <v>18.840123456790124</v>
      </c>
      <c r="U21" s="1264">
        <v>31.920679012345676</v>
      </c>
      <c r="V21" s="1260">
        <v>5.7506944444444441</v>
      </c>
      <c r="W21" s="1260">
        <v>0</v>
      </c>
      <c r="X21" s="1260">
        <v>0</v>
      </c>
      <c r="Y21" s="1262">
        <v>5.7506944444444441</v>
      </c>
      <c r="Z21" s="1263">
        <v>11.516435185185188</v>
      </c>
      <c r="AA21" s="1265">
        <v>37.671373456790128</v>
      </c>
      <c r="AB21" s="1266">
        <v>0.19400000000000003</v>
      </c>
      <c r="AC21" s="1260">
        <v>0.59555555555555562</v>
      </c>
      <c r="AD21" s="1260">
        <v>0.90605555555555573</v>
      </c>
      <c r="AE21" s="1262">
        <v>1.6956111111111114</v>
      </c>
      <c r="AF21" s="1260">
        <v>6.9722222222222199E-2</v>
      </c>
      <c r="AG21" s="1260">
        <v>1.6111111111111111E-2</v>
      </c>
      <c r="AH21" s="1260">
        <v>0.1336111111111111</v>
      </c>
      <c r="AI21" s="1262">
        <v>0.21944444444444441</v>
      </c>
      <c r="AJ21" s="1263">
        <v>1.9150555555555557</v>
      </c>
      <c r="AK21" s="1260">
        <v>5.5555555555555556E-4</v>
      </c>
      <c r="AL21" s="1260">
        <v>8.1111111111111106E-3</v>
      </c>
      <c r="AM21" s="1260">
        <v>0.16430555555555554</v>
      </c>
      <c r="AN21" s="1262">
        <v>0.17297222222222219</v>
      </c>
      <c r="AO21" s="1264">
        <v>2.088027777777778</v>
      </c>
      <c r="AP21" s="1260">
        <v>0.17252083333333332</v>
      </c>
      <c r="AQ21" s="1260">
        <v>0</v>
      </c>
      <c r="AR21" s="1260">
        <v>0</v>
      </c>
      <c r="AS21" s="1262">
        <v>0.17252083333333332</v>
      </c>
      <c r="AT21" s="1263">
        <v>0.34549305555555554</v>
      </c>
      <c r="AU21" s="1267">
        <v>2.2605486111111111</v>
      </c>
      <c r="AW21" s="735">
        <v>1.9156111111111114</v>
      </c>
    </row>
    <row r="22" spans="1:50" ht="24.95" customHeight="1">
      <c r="A22" s="209"/>
      <c r="B22" s="1307" t="s">
        <v>29</v>
      </c>
      <c r="C22" s="1308" t="s">
        <v>175</v>
      </c>
      <c r="D22" s="1309">
        <v>3</v>
      </c>
      <c r="E22" s="1309">
        <v>10</v>
      </c>
      <c r="F22" s="1259">
        <v>0.3</v>
      </c>
      <c r="G22" s="1273"/>
      <c r="H22" s="1260">
        <v>13</v>
      </c>
      <c r="I22" s="1261">
        <v>13</v>
      </c>
      <c r="J22" s="1260">
        <v>13</v>
      </c>
      <c r="K22" s="1262">
        <v>13</v>
      </c>
      <c r="L22" s="1260">
        <v>0</v>
      </c>
      <c r="M22" s="1260">
        <v>0</v>
      </c>
      <c r="N22" s="1260">
        <v>3.5</v>
      </c>
      <c r="O22" s="1262">
        <v>3.5</v>
      </c>
      <c r="P22" s="1263">
        <v>16.5</v>
      </c>
      <c r="Q22" s="1260">
        <v>0</v>
      </c>
      <c r="R22" s="1260">
        <v>0</v>
      </c>
      <c r="S22" s="1260">
        <v>1.4000000000000001</v>
      </c>
      <c r="T22" s="1262">
        <v>13</v>
      </c>
      <c r="U22" s="1264">
        <v>17.899999999999999</v>
      </c>
      <c r="V22" s="1260">
        <v>1.47</v>
      </c>
      <c r="W22" s="1260">
        <v>0</v>
      </c>
      <c r="X22" s="1260">
        <v>0</v>
      </c>
      <c r="Y22" s="1262">
        <v>1.47</v>
      </c>
      <c r="Z22" s="1263">
        <v>2.87</v>
      </c>
      <c r="AA22" s="1265">
        <v>19.369999999999997</v>
      </c>
      <c r="AB22" s="1266">
        <v>0.39</v>
      </c>
      <c r="AC22" s="1260">
        <v>0.39</v>
      </c>
      <c r="AD22" s="1260">
        <v>0.39</v>
      </c>
      <c r="AE22" s="1262">
        <v>1.17</v>
      </c>
      <c r="AF22" s="1260">
        <v>0</v>
      </c>
      <c r="AG22" s="1260">
        <v>0</v>
      </c>
      <c r="AH22" s="1260">
        <v>0.105</v>
      </c>
      <c r="AI22" s="1262">
        <v>0.105</v>
      </c>
      <c r="AJ22" s="1263">
        <v>1.2749999999999999</v>
      </c>
      <c r="AK22" s="1260">
        <v>0</v>
      </c>
      <c r="AL22" s="1260">
        <v>0</v>
      </c>
      <c r="AM22" s="1260">
        <v>4.2000000000000003E-2</v>
      </c>
      <c r="AN22" s="1262">
        <v>4.2000000000000003E-2</v>
      </c>
      <c r="AO22" s="1264">
        <v>1.3169999999999999</v>
      </c>
      <c r="AP22" s="1260">
        <v>4.41E-2</v>
      </c>
      <c r="AQ22" s="1260">
        <v>0</v>
      </c>
      <c r="AR22" s="1260">
        <v>0</v>
      </c>
      <c r="AS22" s="1262">
        <v>4.41E-2</v>
      </c>
      <c r="AT22" s="1263">
        <v>8.610000000000001E-2</v>
      </c>
      <c r="AU22" s="1267">
        <v>1.3611</v>
      </c>
      <c r="AW22" s="735">
        <v>1.2749999999999999</v>
      </c>
    </row>
    <row r="23" spans="1:50" ht="24.95" customHeight="1">
      <c r="A23" s="209"/>
      <c r="B23" s="1310" t="s">
        <v>30</v>
      </c>
      <c r="C23" s="1311" t="s">
        <v>60</v>
      </c>
      <c r="D23" s="1312">
        <v>2</v>
      </c>
      <c r="E23" s="1312">
        <v>26.3</v>
      </c>
      <c r="F23" s="1259">
        <v>0.52600000000000002</v>
      </c>
      <c r="G23" s="1273"/>
      <c r="H23" s="1260">
        <v>3.62</v>
      </c>
      <c r="I23" s="1261">
        <v>6.1524999999999999</v>
      </c>
      <c r="J23" s="1260">
        <v>6.9525000000000006</v>
      </c>
      <c r="K23" s="1262">
        <v>5.5750000000000002</v>
      </c>
      <c r="L23" s="1260">
        <v>39.6</v>
      </c>
      <c r="M23" s="1260">
        <v>0</v>
      </c>
      <c r="N23" s="1260">
        <v>0</v>
      </c>
      <c r="O23" s="1262">
        <v>39.6</v>
      </c>
      <c r="P23" s="1263">
        <v>45.175000000000004</v>
      </c>
      <c r="Q23" s="1260">
        <v>0</v>
      </c>
      <c r="R23" s="1260">
        <v>0</v>
      </c>
      <c r="S23" s="1260">
        <v>5.8666666666666671</v>
      </c>
      <c r="T23" s="1262">
        <v>5.5750000000000002</v>
      </c>
      <c r="U23" s="1264">
        <v>51.041666666666671</v>
      </c>
      <c r="V23" s="1260">
        <v>6.16</v>
      </c>
      <c r="W23" s="1260">
        <v>0</v>
      </c>
      <c r="X23" s="1260">
        <v>0</v>
      </c>
      <c r="Y23" s="1262">
        <v>6.16</v>
      </c>
      <c r="Z23" s="1263">
        <v>12.026666666666667</v>
      </c>
      <c r="AA23" s="1265">
        <v>57.201666666666668</v>
      </c>
      <c r="AB23" s="1266">
        <v>7.2400000000000006E-2</v>
      </c>
      <c r="AC23" s="1260">
        <v>0.12304999999999999</v>
      </c>
      <c r="AD23" s="1260">
        <v>0.13905000000000001</v>
      </c>
      <c r="AE23" s="1262">
        <v>0.33450000000000002</v>
      </c>
      <c r="AF23" s="1260">
        <v>0.79200000000000004</v>
      </c>
      <c r="AG23" s="1260">
        <v>0</v>
      </c>
      <c r="AH23" s="1260">
        <v>0</v>
      </c>
      <c r="AI23" s="1262">
        <v>0.79200000000000004</v>
      </c>
      <c r="AJ23" s="1263">
        <v>1.1265000000000001</v>
      </c>
      <c r="AK23" s="1260">
        <v>0</v>
      </c>
      <c r="AL23" s="1260">
        <v>0</v>
      </c>
      <c r="AM23" s="1260">
        <v>0.11733333333333335</v>
      </c>
      <c r="AN23" s="1262">
        <v>0.11733333333333335</v>
      </c>
      <c r="AO23" s="1264">
        <v>1.2438333333333333</v>
      </c>
      <c r="AP23" s="1260">
        <v>0.1232</v>
      </c>
      <c r="AQ23" s="1260">
        <v>0</v>
      </c>
      <c r="AR23" s="1260">
        <v>0</v>
      </c>
      <c r="AS23" s="1262">
        <v>0.1232</v>
      </c>
      <c r="AT23" s="1263">
        <v>0.24053333333333335</v>
      </c>
      <c r="AU23" s="1267">
        <v>1.3670333333333333</v>
      </c>
      <c r="AW23" s="735">
        <v>1.1265000000000001</v>
      </c>
    </row>
    <row r="24" spans="1:50" ht="24.95" customHeight="1">
      <c r="A24" s="209"/>
      <c r="B24" s="1310" t="s">
        <v>31</v>
      </c>
      <c r="C24" s="1313" t="s">
        <v>61</v>
      </c>
      <c r="D24" s="1312">
        <v>2</v>
      </c>
      <c r="E24" s="1312">
        <v>30.3</v>
      </c>
      <c r="F24" s="1259">
        <v>0.60599999999999998</v>
      </c>
      <c r="G24" s="1273"/>
      <c r="H24" s="1260">
        <v>2.7075</v>
      </c>
      <c r="I24" s="1261">
        <v>5.1025</v>
      </c>
      <c r="J24" s="1260">
        <v>5.165</v>
      </c>
      <c r="K24" s="1262">
        <v>4.3250000000000002</v>
      </c>
      <c r="L24" s="1260">
        <v>37.5</v>
      </c>
      <c r="M24" s="1260">
        <v>10</v>
      </c>
      <c r="N24" s="1260">
        <v>0</v>
      </c>
      <c r="O24" s="1262">
        <v>47.5</v>
      </c>
      <c r="P24" s="1263">
        <v>51.824999999999996</v>
      </c>
      <c r="Q24" s="1260">
        <v>0</v>
      </c>
      <c r="R24" s="1260">
        <v>0</v>
      </c>
      <c r="S24" s="1260">
        <v>9.5916666666666686</v>
      </c>
      <c r="T24" s="1262">
        <v>4.3250000000000002</v>
      </c>
      <c r="U24" s="1264">
        <v>61.416666666666664</v>
      </c>
      <c r="V24" s="1260">
        <v>10.071250000000001</v>
      </c>
      <c r="W24" s="1260">
        <v>0</v>
      </c>
      <c r="X24" s="1260">
        <v>0</v>
      </c>
      <c r="Y24" s="1262">
        <v>10.071250000000001</v>
      </c>
      <c r="Z24" s="1263">
        <v>19.662916666666668</v>
      </c>
      <c r="AA24" s="1265">
        <v>71.487916666666678</v>
      </c>
      <c r="AB24" s="1266">
        <v>5.4150000000000004E-2</v>
      </c>
      <c r="AC24" s="1260">
        <v>0.10205</v>
      </c>
      <c r="AD24" s="1260">
        <v>0.1033</v>
      </c>
      <c r="AE24" s="1262">
        <v>0.25950000000000001</v>
      </c>
      <c r="AF24" s="1260">
        <v>0.75</v>
      </c>
      <c r="AG24" s="1260">
        <v>0.2</v>
      </c>
      <c r="AH24" s="1260">
        <v>0</v>
      </c>
      <c r="AI24" s="1262">
        <v>0.95</v>
      </c>
      <c r="AJ24" s="1263">
        <v>1.2095</v>
      </c>
      <c r="AK24" s="1260">
        <v>0</v>
      </c>
      <c r="AL24" s="1260">
        <v>0</v>
      </c>
      <c r="AM24" s="1260">
        <v>0.19183333333333338</v>
      </c>
      <c r="AN24" s="1262">
        <v>0.19183333333333338</v>
      </c>
      <c r="AO24" s="1264">
        <v>1.4013333333333333</v>
      </c>
      <c r="AP24" s="1260">
        <v>0.20142500000000002</v>
      </c>
      <c r="AQ24" s="1260">
        <v>0</v>
      </c>
      <c r="AR24" s="1260">
        <v>0</v>
      </c>
      <c r="AS24" s="1262">
        <v>0.20142500000000002</v>
      </c>
      <c r="AT24" s="1263">
        <v>0.39325833333333338</v>
      </c>
      <c r="AU24" s="1267">
        <v>1.6027583333333335</v>
      </c>
      <c r="AW24" s="735">
        <v>1.2095</v>
      </c>
    </row>
    <row r="25" spans="1:50" s="207" customFormat="1" ht="24.95" customHeight="1" thickBot="1">
      <c r="A25" s="215"/>
      <c r="B25" s="1310"/>
      <c r="C25" s="1314" t="s">
        <v>5</v>
      </c>
      <c r="D25" s="1315">
        <v>20</v>
      </c>
      <c r="E25" s="1316"/>
      <c r="F25" s="1317">
        <v>2.9565000000000001</v>
      </c>
      <c r="G25" s="1282"/>
      <c r="H25" s="1318">
        <v>28.086666666666666</v>
      </c>
      <c r="I25" s="1318">
        <v>47.379351851851858</v>
      </c>
      <c r="J25" s="1318">
        <v>58.926851851851858</v>
      </c>
      <c r="K25" s="1318">
        <v>44.797623456790134</v>
      </c>
      <c r="L25" s="1318">
        <v>87.25282407407407</v>
      </c>
      <c r="M25" s="1318">
        <v>17.397037037037038</v>
      </c>
      <c r="N25" s="1318">
        <v>12.533572124756335</v>
      </c>
      <c r="O25" s="1319">
        <v>117.18343323586745</v>
      </c>
      <c r="P25" s="1320">
        <v>161.98105669265757</v>
      </c>
      <c r="Q25" s="1318">
        <v>0.19874220272904486</v>
      </c>
      <c r="R25" s="1318">
        <v>2.2989230019493174</v>
      </c>
      <c r="S25" s="1318">
        <v>41.772135185185178</v>
      </c>
      <c r="T25" s="1319">
        <v>44.797623456790134</v>
      </c>
      <c r="U25" s="1321">
        <v>206.25085708252109</v>
      </c>
      <c r="V25" s="1318">
        <v>43.860741944444435</v>
      </c>
      <c r="W25" s="1318">
        <v>0</v>
      </c>
      <c r="X25" s="1318">
        <v>0</v>
      </c>
      <c r="Y25" s="1319">
        <v>43.860741944444435</v>
      </c>
      <c r="Z25" s="1320">
        <v>88.130542334307989</v>
      </c>
      <c r="AA25" s="1322">
        <v>250.11159902696559</v>
      </c>
      <c r="AB25" s="1323">
        <v>0.8251750000000001</v>
      </c>
      <c r="AC25" s="1318">
        <v>1.3742805555555557</v>
      </c>
      <c r="AD25" s="1318">
        <v>1.718780555555556</v>
      </c>
      <c r="AE25" s="1319">
        <v>3.9182361111111117</v>
      </c>
      <c r="AF25" s="1318">
        <v>2.0031597222222222</v>
      </c>
      <c r="AG25" s="1318">
        <v>0.55911111111111111</v>
      </c>
      <c r="AH25" s="1318">
        <v>0.46760453216374265</v>
      </c>
      <c r="AI25" s="1319">
        <v>3.0298753654970758</v>
      </c>
      <c r="AJ25" s="1320">
        <v>6.9481114766081875</v>
      </c>
      <c r="AK25" s="1318">
        <v>9.5667397660818727E-3</v>
      </c>
      <c r="AL25" s="1318">
        <v>0.10953874269005846</v>
      </c>
      <c r="AM25" s="1318">
        <v>1.4873197222222221</v>
      </c>
      <c r="AN25" s="1284">
        <v>1.6064252046783625</v>
      </c>
      <c r="AO25" s="1324">
        <v>8.5545366812865495</v>
      </c>
      <c r="AP25" s="1318">
        <v>1.5616857083333331</v>
      </c>
      <c r="AQ25" s="1318">
        <v>0</v>
      </c>
      <c r="AR25" s="1318">
        <v>0</v>
      </c>
      <c r="AS25" s="1284">
        <v>1.5616857083333331</v>
      </c>
      <c r="AT25" s="1285">
        <v>3.1681109130116956</v>
      </c>
      <c r="AU25" s="1290">
        <v>10.116222389619884</v>
      </c>
      <c r="AW25" s="735">
        <v>6.9576782163742692</v>
      </c>
      <c r="AX25" s="208"/>
    </row>
    <row r="26" spans="1:50" ht="24.95" customHeight="1">
      <c r="A26" s="209"/>
      <c r="B26" s="1652" t="s">
        <v>2</v>
      </c>
      <c r="C26" s="1679"/>
      <c r="D26" s="1653"/>
      <c r="E26" s="1325"/>
      <c r="F26" s="1326"/>
      <c r="G26" s="1327"/>
      <c r="H26" s="1294"/>
      <c r="I26" s="1295"/>
      <c r="J26" s="1295"/>
      <c r="K26" s="1296"/>
      <c r="L26" s="1296"/>
      <c r="M26" s="1296"/>
      <c r="N26" s="1296"/>
      <c r="O26" s="1296"/>
      <c r="P26" s="1297"/>
      <c r="Q26" s="1296"/>
      <c r="R26" s="1296"/>
      <c r="S26" s="1296"/>
      <c r="T26" s="1298"/>
      <c r="U26" s="1299"/>
      <c r="V26" s="1296"/>
      <c r="W26" s="1296"/>
      <c r="X26" s="1296"/>
      <c r="Y26" s="1298"/>
      <c r="Z26" s="1297"/>
      <c r="AA26" s="1296"/>
      <c r="AB26" s="1300"/>
      <c r="AC26" s="1301"/>
      <c r="AD26" s="1301"/>
      <c r="AE26" s="1302"/>
      <c r="AF26" s="1303"/>
      <c r="AG26" s="1303"/>
      <c r="AH26" s="1303"/>
      <c r="AI26" s="1302"/>
      <c r="AJ26" s="1304"/>
      <c r="AK26" s="1303"/>
      <c r="AL26" s="1303"/>
      <c r="AM26" s="1303"/>
      <c r="AN26" s="1302"/>
      <c r="AO26" s="1305"/>
      <c r="AP26" s="1303"/>
      <c r="AQ26" s="1303"/>
      <c r="AR26" s="1303"/>
      <c r="AS26" s="1302"/>
      <c r="AT26" s="1304"/>
      <c r="AU26" s="1306" t="s">
        <v>4</v>
      </c>
      <c r="AW26" s="735"/>
    </row>
    <row r="27" spans="1:50" ht="28.5">
      <c r="A27" s="209"/>
      <c r="B27" s="1307" t="s">
        <v>32</v>
      </c>
      <c r="C27" s="191" t="s">
        <v>193</v>
      </c>
      <c r="D27" s="1309">
        <v>2</v>
      </c>
      <c r="E27" s="1309">
        <v>19</v>
      </c>
      <c r="F27" s="1259">
        <v>0.38</v>
      </c>
      <c r="G27" s="1273"/>
      <c r="H27" s="1260">
        <v>0</v>
      </c>
      <c r="I27" s="1261">
        <v>0</v>
      </c>
      <c r="J27" s="1260">
        <v>7.3249999999999993</v>
      </c>
      <c r="K27" s="1262">
        <v>7.3249999999999993</v>
      </c>
      <c r="L27" s="1260">
        <v>12.5</v>
      </c>
      <c r="M27" s="1260">
        <v>10</v>
      </c>
      <c r="N27" s="1260">
        <v>7.5</v>
      </c>
      <c r="O27" s="1262">
        <v>30</v>
      </c>
      <c r="P27" s="1263">
        <v>37.325000000000003</v>
      </c>
      <c r="Q27" s="1260">
        <v>0.25</v>
      </c>
      <c r="R27" s="1260">
        <v>7</v>
      </c>
      <c r="S27" s="1260">
        <v>13.5</v>
      </c>
      <c r="T27" s="1262">
        <v>20.75</v>
      </c>
      <c r="U27" s="1264">
        <v>58.075000000000003</v>
      </c>
      <c r="V27" s="1260">
        <v>14.175000000000001</v>
      </c>
      <c r="W27" s="1260">
        <v>0</v>
      </c>
      <c r="X27" s="1260">
        <v>0</v>
      </c>
      <c r="Y27" s="1262">
        <v>14.175000000000001</v>
      </c>
      <c r="Z27" s="1263">
        <v>34.924999999999997</v>
      </c>
      <c r="AA27" s="1265">
        <v>72.25</v>
      </c>
      <c r="AB27" s="1266">
        <v>0</v>
      </c>
      <c r="AC27" s="1260">
        <v>0</v>
      </c>
      <c r="AD27" s="1260">
        <v>0.14649999999999999</v>
      </c>
      <c r="AE27" s="1262">
        <v>0.14649999999999999</v>
      </c>
      <c r="AF27" s="1260">
        <v>0.25</v>
      </c>
      <c r="AG27" s="1260">
        <v>0.2</v>
      </c>
      <c r="AH27" s="1260">
        <v>0.15</v>
      </c>
      <c r="AI27" s="1262">
        <v>0.6</v>
      </c>
      <c r="AJ27" s="1263">
        <v>0.74649999999999994</v>
      </c>
      <c r="AK27" s="1260">
        <v>5.0000000000000001E-3</v>
      </c>
      <c r="AL27" s="1260">
        <v>0.14000000000000001</v>
      </c>
      <c r="AM27" s="1260">
        <v>0.27</v>
      </c>
      <c r="AN27" s="1262">
        <v>0.41500000000000004</v>
      </c>
      <c r="AO27" s="1264">
        <v>1.1615</v>
      </c>
      <c r="AP27" s="1260">
        <v>0.28350000000000003</v>
      </c>
      <c r="AQ27" s="1260">
        <v>0</v>
      </c>
      <c r="AR27" s="1260">
        <v>0</v>
      </c>
      <c r="AS27" s="1262">
        <v>0.28350000000000003</v>
      </c>
      <c r="AT27" s="1263">
        <v>0.69850000000000012</v>
      </c>
      <c r="AU27" s="1267">
        <v>1.4450000000000001</v>
      </c>
      <c r="AW27" s="735">
        <v>0.75149999999999995</v>
      </c>
    </row>
    <row r="28" spans="1:50" ht="24.95" customHeight="1">
      <c r="A28" s="209"/>
      <c r="B28" s="1307" t="s">
        <v>33</v>
      </c>
      <c r="C28" s="1308" t="s">
        <v>194</v>
      </c>
      <c r="D28" s="1309">
        <v>2</v>
      </c>
      <c r="E28" s="1309">
        <v>14.5</v>
      </c>
      <c r="F28" s="1259">
        <v>0.28999999999999998</v>
      </c>
      <c r="G28" s="1273"/>
      <c r="H28" s="1260">
        <v>0</v>
      </c>
      <c r="I28" s="1261">
        <v>0</v>
      </c>
      <c r="J28" s="1260">
        <v>0</v>
      </c>
      <c r="K28" s="1262">
        <v>0</v>
      </c>
      <c r="L28" s="1260">
        <v>6</v>
      </c>
      <c r="M28" s="1260">
        <v>0</v>
      </c>
      <c r="N28" s="1260">
        <v>3.5</v>
      </c>
      <c r="O28" s="1262">
        <v>9.5</v>
      </c>
      <c r="P28" s="1263">
        <v>9.5</v>
      </c>
      <c r="Q28" s="1260">
        <v>0</v>
      </c>
      <c r="R28" s="1260">
        <v>2.2999999999999998</v>
      </c>
      <c r="S28" s="1260">
        <v>4.8499999999999996</v>
      </c>
      <c r="T28" s="1262">
        <v>7.15</v>
      </c>
      <c r="U28" s="1264">
        <v>16.650000000000002</v>
      </c>
      <c r="V28" s="1260">
        <v>5.0925000000000002</v>
      </c>
      <c r="W28" s="1260">
        <v>0</v>
      </c>
      <c r="X28" s="1260">
        <v>0</v>
      </c>
      <c r="Y28" s="1262">
        <v>5.0925000000000002</v>
      </c>
      <c r="Z28" s="1263">
        <v>0</v>
      </c>
      <c r="AA28" s="1265">
        <v>21.7425</v>
      </c>
      <c r="AB28" s="1266">
        <v>0</v>
      </c>
      <c r="AC28" s="1260">
        <v>0</v>
      </c>
      <c r="AD28" s="1260">
        <v>0</v>
      </c>
      <c r="AE28" s="1262">
        <v>0</v>
      </c>
      <c r="AF28" s="1260">
        <v>0.12</v>
      </c>
      <c r="AG28" s="1260">
        <v>0</v>
      </c>
      <c r="AH28" s="1260">
        <v>7.0000000000000007E-2</v>
      </c>
      <c r="AI28" s="1262">
        <v>0.19</v>
      </c>
      <c r="AJ28" s="1263">
        <v>0.19</v>
      </c>
      <c r="AK28" s="1260">
        <v>0</v>
      </c>
      <c r="AL28" s="1260">
        <v>4.5999999999999999E-2</v>
      </c>
      <c r="AM28" s="1260">
        <v>9.6999999999999989E-2</v>
      </c>
      <c r="AN28" s="1262">
        <v>0.14299999999999999</v>
      </c>
      <c r="AO28" s="1264">
        <v>0.33299999999999996</v>
      </c>
      <c r="AP28" s="1260">
        <v>0.10185000000000001</v>
      </c>
      <c r="AQ28" s="1260">
        <v>0</v>
      </c>
      <c r="AR28" s="1260">
        <v>0</v>
      </c>
      <c r="AS28" s="1262">
        <v>0.10185000000000001</v>
      </c>
      <c r="AT28" s="1263">
        <v>0.24485000000000001</v>
      </c>
      <c r="AU28" s="1267">
        <v>0.43485000000000001</v>
      </c>
      <c r="AW28" s="735">
        <v>0.19</v>
      </c>
    </row>
    <row r="29" spans="1:50" ht="24.95" customHeight="1">
      <c r="A29" s="209"/>
      <c r="B29" s="1307" t="s">
        <v>34</v>
      </c>
      <c r="C29" s="1308" t="s">
        <v>195</v>
      </c>
      <c r="D29" s="1309">
        <v>2</v>
      </c>
      <c r="E29" s="1309">
        <v>11.5</v>
      </c>
      <c r="F29" s="1259">
        <v>0.23</v>
      </c>
      <c r="G29" s="1273"/>
      <c r="H29" s="1260">
        <v>0</v>
      </c>
      <c r="I29" s="1261">
        <v>0</v>
      </c>
      <c r="J29" s="1260">
        <v>0</v>
      </c>
      <c r="K29" s="1262">
        <v>0</v>
      </c>
      <c r="L29" s="1260">
        <v>0</v>
      </c>
      <c r="M29" s="1260">
        <v>0</v>
      </c>
      <c r="N29" s="1260">
        <v>30</v>
      </c>
      <c r="O29" s="1262">
        <v>30</v>
      </c>
      <c r="P29" s="1263">
        <v>30</v>
      </c>
      <c r="Q29" s="1260">
        <v>0.4</v>
      </c>
      <c r="R29" s="1260">
        <v>3.2</v>
      </c>
      <c r="S29" s="1260">
        <v>8.6000000000000014</v>
      </c>
      <c r="T29" s="1262">
        <v>12.200000000000001</v>
      </c>
      <c r="U29" s="1264">
        <v>42.199999999999996</v>
      </c>
      <c r="V29" s="1260">
        <v>9.0300000000000011</v>
      </c>
      <c r="W29" s="1260">
        <v>0</v>
      </c>
      <c r="X29" s="1260">
        <v>0</v>
      </c>
      <c r="Y29" s="1262">
        <v>9.0300000000000011</v>
      </c>
      <c r="Z29" s="1263">
        <v>0</v>
      </c>
      <c r="AA29" s="1265">
        <v>51.230000000000004</v>
      </c>
      <c r="AB29" s="1266">
        <v>0</v>
      </c>
      <c r="AC29" s="1260">
        <v>0</v>
      </c>
      <c r="AD29" s="1260">
        <v>0</v>
      </c>
      <c r="AE29" s="1262">
        <v>0</v>
      </c>
      <c r="AF29" s="1260">
        <v>0</v>
      </c>
      <c r="AG29" s="1260">
        <v>0</v>
      </c>
      <c r="AH29" s="1260">
        <v>0.6</v>
      </c>
      <c r="AI29" s="1262">
        <v>0.6</v>
      </c>
      <c r="AJ29" s="1263">
        <v>0.6</v>
      </c>
      <c r="AK29" s="1260">
        <v>8.0000000000000002E-3</v>
      </c>
      <c r="AL29" s="1260">
        <v>6.4000000000000001E-2</v>
      </c>
      <c r="AM29" s="1260">
        <v>0.17200000000000004</v>
      </c>
      <c r="AN29" s="1262">
        <v>0.24400000000000005</v>
      </c>
      <c r="AO29" s="1264">
        <v>0.84400000000000008</v>
      </c>
      <c r="AP29" s="1260">
        <v>0.18060000000000001</v>
      </c>
      <c r="AQ29" s="1260">
        <v>0</v>
      </c>
      <c r="AR29" s="1260">
        <v>0</v>
      </c>
      <c r="AS29" s="1262">
        <v>0.18060000000000001</v>
      </c>
      <c r="AT29" s="1263">
        <v>0.42460000000000009</v>
      </c>
      <c r="AU29" s="1267">
        <v>1.0246</v>
      </c>
      <c r="AW29" s="735">
        <v>0.60799999999999998</v>
      </c>
    </row>
    <row r="30" spans="1:50" ht="24.95" customHeight="1">
      <c r="A30" s="209"/>
      <c r="B30" s="1307" t="s">
        <v>35</v>
      </c>
      <c r="C30" s="1308" t="s">
        <v>176</v>
      </c>
      <c r="D30" s="1309">
        <v>2</v>
      </c>
      <c r="E30" s="1309">
        <v>5.4</v>
      </c>
      <c r="F30" s="1259">
        <v>0.10800000000000001</v>
      </c>
      <c r="G30" s="1273"/>
      <c r="H30" s="1260">
        <v>0</v>
      </c>
      <c r="I30" s="1261">
        <v>0</v>
      </c>
      <c r="J30" s="1260">
        <v>0</v>
      </c>
      <c r="K30" s="1262">
        <v>0</v>
      </c>
      <c r="L30" s="1260">
        <v>0</v>
      </c>
      <c r="M30" s="1260">
        <v>0</v>
      </c>
      <c r="N30" s="1260">
        <v>3.6</v>
      </c>
      <c r="O30" s="1262">
        <v>3.6</v>
      </c>
      <c r="P30" s="1263">
        <v>3.6</v>
      </c>
      <c r="Q30" s="1260">
        <v>0</v>
      </c>
      <c r="R30" s="1260">
        <v>2.5</v>
      </c>
      <c r="S30" s="1260">
        <v>6.7</v>
      </c>
      <c r="T30" s="1262">
        <v>9.2000000000000011</v>
      </c>
      <c r="U30" s="1264">
        <v>12.800000000000002</v>
      </c>
      <c r="V30" s="1260">
        <v>7.0350000000000001</v>
      </c>
      <c r="W30" s="1260">
        <v>0</v>
      </c>
      <c r="X30" s="1260">
        <v>0</v>
      </c>
      <c r="Y30" s="1262">
        <v>7.0350000000000001</v>
      </c>
      <c r="Z30" s="1263">
        <v>0</v>
      </c>
      <c r="AA30" s="1265">
        <v>19.834999999999997</v>
      </c>
      <c r="AB30" s="1266">
        <v>0</v>
      </c>
      <c r="AC30" s="1260">
        <v>0</v>
      </c>
      <c r="AD30" s="1260">
        <v>0</v>
      </c>
      <c r="AE30" s="1262">
        <v>0</v>
      </c>
      <c r="AF30" s="1260">
        <v>0</v>
      </c>
      <c r="AG30" s="1260">
        <v>0</v>
      </c>
      <c r="AH30" s="1260">
        <v>7.2000000000000008E-2</v>
      </c>
      <c r="AI30" s="1262">
        <v>7.2000000000000008E-2</v>
      </c>
      <c r="AJ30" s="1263">
        <v>7.2000000000000008E-2</v>
      </c>
      <c r="AK30" s="1260">
        <v>0</v>
      </c>
      <c r="AL30" s="1260">
        <v>0.05</v>
      </c>
      <c r="AM30" s="1260">
        <v>0.13400000000000001</v>
      </c>
      <c r="AN30" s="1262">
        <v>0.184</v>
      </c>
      <c r="AO30" s="1264">
        <v>0.25600000000000001</v>
      </c>
      <c r="AP30" s="1260">
        <v>0.14069999999999999</v>
      </c>
      <c r="AQ30" s="1260">
        <v>0</v>
      </c>
      <c r="AR30" s="1260">
        <v>0</v>
      </c>
      <c r="AS30" s="1262">
        <v>0.14069999999999999</v>
      </c>
      <c r="AT30" s="1263">
        <v>0.32469999999999999</v>
      </c>
      <c r="AU30" s="1267">
        <v>0.3967</v>
      </c>
      <c r="AW30" s="735">
        <v>7.2000000000000008E-2</v>
      </c>
    </row>
    <row r="31" spans="1:50" ht="24.95" customHeight="1">
      <c r="A31" s="209"/>
      <c r="B31" s="1307" t="s">
        <v>36</v>
      </c>
      <c r="C31" s="1308" t="s">
        <v>177</v>
      </c>
      <c r="D31" s="1309">
        <v>2</v>
      </c>
      <c r="E31" s="1309">
        <v>4.5</v>
      </c>
      <c r="F31" s="1259">
        <v>0.09</v>
      </c>
      <c r="G31" s="1273"/>
      <c r="H31" s="1260">
        <v>0</v>
      </c>
      <c r="I31" s="1261">
        <v>0</v>
      </c>
      <c r="J31" s="1260">
        <v>0</v>
      </c>
      <c r="K31" s="1262">
        <v>0</v>
      </c>
      <c r="L31" s="1260">
        <v>0</v>
      </c>
      <c r="M31" s="1260">
        <v>0</v>
      </c>
      <c r="N31" s="1260">
        <v>0.89999999999999991</v>
      </c>
      <c r="O31" s="1262">
        <v>0.89999999999999991</v>
      </c>
      <c r="P31" s="1263">
        <v>0.89999999999999991</v>
      </c>
      <c r="Q31" s="1260">
        <v>0</v>
      </c>
      <c r="R31" s="1260">
        <v>1.7999999999999998</v>
      </c>
      <c r="S31" s="1260">
        <v>8.8000000000000007</v>
      </c>
      <c r="T31" s="1262">
        <v>10.600000000000001</v>
      </c>
      <c r="U31" s="1264">
        <v>11.500000000000002</v>
      </c>
      <c r="V31" s="1260">
        <v>9.24</v>
      </c>
      <c r="W31" s="1260">
        <v>0</v>
      </c>
      <c r="X31" s="1260">
        <v>0</v>
      </c>
      <c r="Y31" s="1262">
        <v>9.24</v>
      </c>
      <c r="Z31" s="1263">
        <v>0</v>
      </c>
      <c r="AA31" s="1265">
        <v>20.740000000000002</v>
      </c>
      <c r="AB31" s="1266">
        <v>0</v>
      </c>
      <c r="AC31" s="1260">
        <v>0</v>
      </c>
      <c r="AD31" s="1260">
        <v>0</v>
      </c>
      <c r="AE31" s="1262">
        <v>0</v>
      </c>
      <c r="AF31" s="1260">
        <v>0</v>
      </c>
      <c r="AG31" s="1260">
        <v>0</v>
      </c>
      <c r="AH31" s="1260">
        <v>1.7999999999999999E-2</v>
      </c>
      <c r="AI31" s="1262">
        <v>1.7999999999999999E-2</v>
      </c>
      <c r="AJ31" s="1263">
        <v>1.7999999999999999E-2</v>
      </c>
      <c r="AK31" s="1260">
        <v>0</v>
      </c>
      <c r="AL31" s="1260">
        <v>3.5999999999999997E-2</v>
      </c>
      <c r="AM31" s="1260">
        <v>0.17600000000000002</v>
      </c>
      <c r="AN31" s="1262">
        <v>0.21200000000000002</v>
      </c>
      <c r="AO31" s="1264">
        <v>0.23</v>
      </c>
      <c r="AP31" s="1260">
        <v>0.18479999999999999</v>
      </c>
      <c r="AQ31" s="1260">
        <v>0</v>
      </c>
      <c r="AR31" s="1260">
        <v>0</v>
      </c>
      <c r="AS31" s="1262">
        <v>0.18479999999999999</v>
      </c>
      <c r="AT31" s="1263">
        <v>0.39680000000000004</v>
      </c>
      <c r="AU31" s="1267">
        <v>0.41480000000000006</v>
      </c>
      <c r="AW31" s="735">
        <v>1.7999999999999999E-2</v>
      </c>
    </row>
    <row r="32" spans="1:50" ht="24.95" customHeight="1">
      <c r="A32" s="209"/>
      <c r="B32" s="1307" t="s">
        <v>37</v>
      </c>
      <c r="C32" s="1308" t="s">
        <v>178</v>
      </c>
      <c r="D32" s="1309">
        <v>2</v>
      </c>
      <c r="E32" s="1309">
        <v>4.5</v>
      </c>
      <c r="F32" s="1259">
        <v>0.09</v>
      </c>
      <c r="G32" s="1273"/>
      <c r="H32" s="1260">
        <v>0</v>
      </c>
      <c r="I32" s="1261">
        <v>0</v>
      </c>
      <c r="J32" s="1260">
        <v>0</v>
      </c>
      <c r="K32" s="1262">
        <v>0</v>
      </c>
      <c r="L32" s="1260">
        <v>0</v>
      </c>
      <c r="M32" s="1260">
        <v>0</v>
      </c>
      <c r="N32" s="1260">
        <v>0.75</v>
      </c>
      <c r="O32" s="1262">
        <v>0.75</v>
      </c>
      <c r="P32" s="1263">
        <v>0.75</v>
      </c>
      <c r="Q32" s="1260">
        <v>0</v>
      </c>
      <c r="R32" s="1260">
        <v>0</v>
      </c>
      <c r="S32" s="1260">
        <v>0</v>
      </c>
      <c r="T32" s="1262">
        <v>0</v>
      </c>
      <c r="U32" s="1264">
        <v>0.75</v>
      </c>
      <c r="V32" s="1260">
        <v>0</v>
      </c>
      <c r="W32" s="1260">
        <v>0</v>
      </c>
      <c r="X32" s="1260">
        <v>0</v>
      </c>
      <c r="Y32" s="1262">
        <v>0</v>
      </c>
      <c r="Z32" s="1263">
        <v>0</v>
      </c>
      <c r="AA32" s="1265">
        <v>0.75</v>
      </c>
      <c r="AB32" s="1266">
        <v>0</v>
      </c>
      <c r="AC32" s="1260">
        <v>0</v>
      </c>
      <c r="AD32" s="1260">
        <v>0</v>
      </c>
      <c r="AE32" s="1262">
        <v>0</v>
      </c>
      <c r="AF32" s="1260">
        <v>0</v>
      </c>
      <c r="AG32" s="1260">
        <v>0</v>
      </c>
      <c r="AH32" s="1260">
        <v>1.4999999999999999E-2</v>
      </c>
      <c r="AI32" s="1262">
        <v>1.4999999999999999E-2</v>
      </c>
      <c r="AJ32" s="1263">
        <v>1.4999999999999999E-2</v>
      </c>
      <c r="AK32" s="1260">
        <v>0</v>
      </c>
      <c r="AL32" s="1260">
        <v>0</v>
      </c>
      <c r="AM32" s="1260">
        <v>0</v>
      </c>
      <c r="AN32" s="1262">
        <v>0</v>
      </c>
      <c r="AO32" s="1264">
        <v>1.4999999999999999E-2</v>
      </c>
      <c r="AP32" s="1260">
        <v>0</v>
      </c>
      <c r="AQ32" s="1260">
        <v>0</v>
      </c>
      <c r="AR32" s="1260">
        <v>0</v>
      </c>
      <c r="AS32" s="1262">
        <v>0</v>
      </c>
      <c r="AT32" s="1263">
        <v>0</v>
      </c>
      <c r="AU32" s="1267">
        <v>1.4999999999999999E-2</v>
      </c>
      <c r="AW32" s="735">
        <v>1.4999999999999999E-2</v>
      </c>
    </row>
    <row r="33" spans="1:49" ht="24.95" customHeight="1">
      <c r="A33" s="209"/>
      <c r="B33" s="1307" t="s">
        <v>38</v>
      </c>
      <c r="C33" s="1308" t="s">
        <v>18</v>
      </c>
      <c r="D33" s="1309">
        <v>3</v>
      </c>
      <c r="E33" s="1309">
        <v>6.9</v>
      </c>
      <c r="F33" s="1259">
        <v>0.20700000000000002</v>
      </c>
      <c r="G33" s="1273"/>
      <c r="H33" s="1260">
        <v>0</v>
      </c>
      <c r="I33" s="1260">
        <v>0</v>
      </c>
      <c r="J33" s="1260">
        <v>0</v>
      </c>
      <c r="K33" s="1262">
        <v>0</v>
      </c>
      <c r="L33" s="1260">
        <v>0</v>
      </c>
      <c r="M33" s="1260">
        <v>0</v>
      </c>
      <c r="N33" s="1260">
        <v>11</v>
      </c>
      <c r="O33" s="1262">
        <v>11</v>
      </c>
      <c r="P33" s="1263">
        <v>11</v>
      </c>
      <c r="Q33" s="1260">
        <v>0</v>
      </c>
      <c r="R33" s="1260">
        <v>0</v>
      </c>
      <c r="S33" s="1260">
        <v>7.15</v>
      </c>
      <c r="T33" s="1262">
        <v>7.15</v>
      </c>
      <c r="U33" s="1264">
        <v>18.150000000000002</v>
      </c>
      <c r="V33" s="1260">
        <v>7.5075000000000003</v>
      </c>
      <c r="W33" s="1260">
        <v>0</v>
      </c>
      <c r="X33" s="1260">
        <v>0</v>
      </c>
      <c r="Y33" s="1262">
        <v>7.5075000000000003</v>
      </c>
      <c r="Z33" s="1263">
        <v>0</v>
      </c>
      <c r="AA33" s="1265">
        <v>25.657500000000002</v>
      </c>
      <c r="AB33" s="1266">
        <v>0</v>
      </c>
      <c r="AC33" s="1260">
        <v>0</v>
      </c>
      <c r="AD33" s="1260">
        <v>0</v>
      </c>
      <c r="AE33" s="1262">
        <v>0</v>
      </c>
      <c r="AF33" s="1260">
        <v>0</v>
      </c>
      <c r="AG33" s="1260">
        <v>0</v>
      </c>
      <c r="AH33" s="1260">
        <v>0.33</v>
      </c>
      <c r="AI33" s="1262">
        <v>0.33</v>
      </c>
      <c r="AJ33" s="1263">
        <v>0.33</v>
      </c>
      <c r="AK33" s="1260">
        <v>0</v>
      </c>
      <c r="AL33" s="1260">
        <v>0</v>
      </c>
      <c r="AM33" s="1260">
        <v>0.21450000000000002</v>
      </c>
      <c r="AN33" s="1262">
        <v>0.21450000000000002</v>
      </c>
      <c r="AO33" s="1264">
        <v>0.54449999999999998</v>
      </c>
      <c r="AP33" s="1260">
        <v>0.22522500000000001</v>
      </c>
      <c r="AQ33" s="1260">
        <v>0</v>
      </c>
      <c r="AR33" s="1260">
        <v>0</v>
      </c>
      <c r="AS33" s="1262">
        <v>0.22522500000000001</v>
      </c>
      <c r="AT33" s="1263">
        <v>0.43972500000000003</v>
      </c>
      <c r="AU33" s="1267">
        <v>0.76972499999999999</v>
      </c>
      <c r="AW33" s="735">
        <v>0.33</v>
      </c>
    </row>
    <row r="34" spans="1:49" s="205" customFormat="1" ht="24.95" customHeight="1" thickBot="1">
      <c r="A34" s="216"/>
      <c r="B34" s="1328"/>
      <c r="C34" s="1329" t="s">
        <v>6</v>
      </c>
      <c r="D34" s="1330">
        <v>15</v>
      </c>
      <c r="E34" s="1331"/>
      <c r="F34" s="1332">
        <v>1.3950000000000002</v>
      </c>
      <c r="G34" s="1282"/>
      <c r="H34" s="1333">
        <v>0</v>
      </c>
      <c r="I34" s="1334">
        <v>0</v>
      </c>
      <c r="J34" s="1334">
        <v>7.3249999999999993</v>
      </c>
      <c r="K34" s="1335">
        <v>7.3249999999999993</v>
      </c>
      <c r="L34" s="1336">
        <v>18.5</v>
      </c>
      <c r="M34" s="1336">
        <v>10</v>
      </c>
      <c r="N34" s="1336">
        <v>57.25</v>
      </c>
      <c r="O34" s="1335">
        <v>85.75</v>
      </c>
      <c r="P34" s="1337">
        <v>93.075000000000003</v>
      </c>
      <c r="Q34" s="1334">
        <v>0.65</v>
      </c>
      <c r="R34" s="1334">
        <v>16.8</v>
      </c>
      <c r="S34" s="1334">
        <v>49.6</v>
      </c>
      <c r="T34" s="1335">
        <v>67.050000000000011</v>
      </c>
      <c r="U34" s="1338">
        <v>160.12500000000003</v>
      </c>
      <c r="V34" s="1334">
        <v>52.080000000000005</v>
      </c>
      <c r="W34" s="1334">
        <v>0</v>
      </c>
      <c r="X34" s="1334">
        <v>0</v>
      </c>
      <c r="Y34" s="1335">
        <v>52.080000000000005</v>
      </c>
      <c r="Z34" s="1337">
        <v>34.924999999999997</v>
      </c>
      <c r="AA34" s="1339">
        <v>212.20500000000004</v>
      </c>
      <c r="AB34" s="1340">
        <v>0</v>
      </c>
      <c r="AC34" s="1334">
        <v>0</v>
      </c>
      <c r="AD34" s="1334">
        <v>0.14649999999999999</v>
      </c>
      <c r="AE34" s="1335">
        <v>0.14649999999999999</v>
      </c>
      <c r="AF34" s="1334">
        <v>0.37</v>
      </c>
      <c r="AG34" s="1334">
        <v>0.2</v>
      </c>
      <c r="AH34" s="1334">
        <v>1.2549999999999999</v>
      </c>
      <c r="AI34" s="1335">
        <v>1.8250000000000002</v>
      </c>
      <c r="AJ34" s="1337">
        <v>1.9715000000000003</v>
      </c>
      <c r="AK34" s="1334">
        <v>1.3000000000000001E-2</v>
      </c>
      <c r="AL34" s="1334">
        <v>0.33599999999999997</v>
      </c>
      <c r="AM34" s="1334">
        <v>1.0635000000000001</v>
      </c>
      <c r="AN34" s="1335">
        <v>1.4125000000000001</v>
      </c>
      <c r="AO34" s="1341">
        <v>3.3840000000000003</v>
      </c>
      <c r="AP34" s="1334">
        <v>1.1166749999999999</v>
      </c>
      <c r="AQ34" s="1334">
        <v>0</v>
      </c>
      <c r="AR34" s="1334">
        <v>0</v>
      </c>
      <c r="AS34" s="1342">
        <v>1.1166749999999999</v>
      </c>
      <c r="AT34" s="1343">
        <v>2.529175</v>
      </c>
      <c r="AU34" s="1344">
        <v>4.5006750000000002</v>
      </c>
      <c r="AW34" s="735">
        <v>1.9845000000000002</v>
      </c>
    </row>
    <row r="35" spans="1:49" ht="30" customHeight="1" thickTop="1">
      <c r="A35" s="209"/>
      <c r="B35" s="1702" t="s">
        <v>225</v>
      </c>
      <c r="C35" s="1345" t="s">
        <v>221</v>
      </c>
      <c r="D35" s="1346">
        <v>65</v>
      </c>
      <c r="E35" s="1347"/>
      <c r="F35" s="1348">
        <v>7.4775999999999998</v>
      </c>
      <c r="G35" s="1273"/>
      <c r="H35" s="1349">
        <v>14.043189419259258</v>
      </c>
      <c r="I35" s="1350">
        <v>20.237253944444443</v>
      </c>
      <c r="J35" s="1350">
        <v>22.499614962962966</v>
      </c>
      <c r="K35" s="1351">
        <v>56.780058326666669</v>
      </c>
      <c r="L35" s="1350">
        <v>32.198599999999999</v>
      </c>
      <c r="M35" s="1350">
        <v>33.513000000000005</v>
      </c>
      <c r="N35" s="1350">
        <v>34.776587116402112</v>
      </c>
      <c r="O35" s="1351">
        <v>100.48818711640212</v>
      </c>
      <c r="P35" s="1352">
        <v>157.26824544306879</v>
      </c>
      <c r="Q35" s="1350">
        <v>3.7385533333333334</v>
      </c>
      <c r="R35" s="1350">
        <v>9.7525000000000013</v>
      </c>
      <c r="S35" s="1350">
        <v>17.296324074074072</v>
      </c>
      <c r="T35" s="1351">
        <v>30.787377407407412</v>
      </c>
      <c r="U35" s="1353">
        <v>188.05562285047617</v>
      </c>
      <c r="V35" s="1350">
        <v>21.053763833333335</v>
      </c>
      <c r="W35" s="1350">
        <v>0</v>
      </c>
      <c r="X35" s="1350">
        <v>0</v>
      </c>
      <c r="Y35" s="1351">
        <v>21.053763833333335</v>
      </c>
      <c r="Z35" s="1352">
        <v>51.84114124074074</v>
      </c>
      <c r="AA35" s="1354">
        <v>209.10938668380953</v>
      </c>
      <c r="AB35" s="1355">
        <v>1.6637420619555556</v>
      </c>
      <c r="AC35" s="1350">
        <v>2.2714012133333332</v>
      </c>
      <c r="AD35" s="1350">
        <v>2.4460112911111112</v>
      </c>
      <c r="AE35" s="1351">
        <v>6.3811545663999993</v>
      </c>
      <c r="AF35" s="1350">
        <v>2.7273899999999998</v>
      </c>
      <c r="AG35" s="1350">
        <v>2.7384000000000004</v>
      </c>
      <c r="AH35" s="1350">
        <v>4.6762214007936516</v>
      </c>
      <c r="AI35" s="1351">
        <v>10.142011400793653</v>
      </c>
      <c r="AJ35" s="1352">
        <v>16.523165967193652</v>
      </c>
      <c r="AK35" s="1350">
        <v>0.54659133333333321</v>
      </c>
      <c r="AL35" s="1350">
        <v>1.1229</v>
      </c>
      <c r="AM35" s="1350">
        <v>1.2925463888888888</v>
      </c>
      <c r="AN35" s="1351">
        <v>2.9620377222222221</v>
      </c>
      <c r="AO35" s="1353">
        <v>19.485203689415876</v>
      </c>
      <c r="AP35" s="1350">
        <v>1.7910672416666669</v>
      </c>
      <c r="AQ35" s="1350">
        <v>0</v>
      </c>
      <c r="AR35" s="1350">
        <v>0</v>
      </c>
      <c r="AS35" s="1351">
        <v>1.7910672416666669</v>
      </c>
      <c r="AT35" s="1352">
        <v>4.7531049638888891</v>
      </c>
      <c r="AU35" s="1356">
        <v>21.276270931082543</v>
      </c>
      <c r="AW35" s="735">
        <v>17.069757300526984</v>
      </c>
    </row>
    <row r="36" spans="1:49" ht="30" customHeight="1">
      <c r="A36" s="209"/>
      <c r="B36" s="1703"/>
      <c r="C36" s="1357" t="s">
        <v>222</v>
      </c>
      <c r="D36" s="1309">
        <v>20</v>
      </c>
      <c r="E36" s="1358"/>
      <c r="F36" s="1359">
        <v>2.9565000000000001</v>
      </c>
      <c r="G36" s="1273"/>
      <c r="H36" s="1260">
        <v>28.086666666666666</v>
      </c>
      <c r="I36" s="1260">
        <v>47.379351851851858</v>
      </c>
      <c r="J36" s="1260">
        <v>58.926851851851858</v>
      </c>
      <c r="K36" s="1262">
        <v>44.797623456790134</v>
      </c>
      <c r="L36" s="1260">
        <v>87.25282407407407</v>
      </c>
      <c r="M36" s="1260">
        <v>17.397037037037038</v>
      </c>
      <c r="N36" s="1260">
        <v>12.533572124756335</v>
      </c>
      <c r="O36" s="1262">
        <v>117.18343323586745</v>
      </c>
      <c r="P36" s="1263">
        <v>161.98105669265757</v>
      </c>
      <c r="Q36" s="1260">
        <v>0.19874220272904486</v>
      </c>
      <c r="R36" s="1260">
        <v>2.2989230019493174</v>
      </c>
      <c r="S36" s="1260">
        <v>41.772135185185178</v>
      </c>
      <c r="T36" s="1262">
        <v>44.797623456790134</v>
      </c>
      <c r="U36" s="1264">
        <v>206.25085708252109</v>
      </c>
      <c r="V36" s="1260">
        <v>43.860741944444435</v>
      </c>
      <c r="W36" s="1260">
        <v>0</v>
      </c>
      <c r="X36" s="1260">
        <v>0</v>
      </c>
      <c r="Y36" s="1262">
        <v>43.860741944444435</v>
      </c>
      <c r="Z36" s="1263">
        <v>88.130542334307989</v>
      </c>
      <c r="AA36" s="1265">
        <v>250.11159902696559</v>
      </c>
      <c r="AB36" s="1266">
        <v>0.8251750000000001</v>
      </c>
      <c r="AC36" s="1260">
        <v>1.3742805555555557</v>
      </c>
      <c r="AD36" s="1260">
        <v>1.718780555555556</v>
      </c>
      <c r="AE36" s="1262">
        <v>3.9182361111111117</v>
      </c>
      <c r="AF36" s="1260">
        <v>2.0031597222222222</v>
      </c>
      <c r="AG36" s="1260">
        <v>0.55911111111111111</v>
      </c>
      <c r="AH36" s="1260">
        <v>0.46760453216374265</v>
      </c>
      <c r="AI36" s="1262">
        <v>3.0298753654970758</v>
      </c>
      <c r="AJ36" s="1263">
        <v>6.9481114766081875</v>
      </c>
      <c r="AK36" s="1260">
        <v>9.5667397660818727E-3</v>
      </c>
      <c r="AL36" s="1260">
        <v>0.10953874269005846</v>
      </c>
      <c r="AM36" s="1260">
        <v>1.4873197222222221</v>
      </c>
      <c r="AN36" s="1262">
        <v>1.6064252046783625</v>
      </c>
      <c r="AO36" s="1264">
        <v>8.5545366812865495</v>
      </c>
      <c r="AP36" s="1260">
        <v>1.5616857083333331</v>
      </c>
      <c r="AQ36" s="1260">
        <v>0</v>
      </c>
      <c r="AR36" s="1260">
        <v>0</v>
      </c>
      <c r="AS36" s="1262">
        <v>1.5616857083333331</v>
      </c>
      <c r="AT36" s="1263">
        <v>3.1681109130116956</v>
      </c>
      <c r="AU36" s="1267">
        <v>10.116222389619884</v>
      </c>
      <c r="AW36" s="735">
        <v>6.9576782163742692</v>
      </c>
    </row>
    <row r="37" spans="1:49" ht="30" customHeight="1">
      <c r="A37" s="209"/>
      <c r="B37" s="1704"/>
      <c r="C37" s="1357" t="s">
        <v>223</v>
      </c>
      <c r="D37" s="1360">
        <v>15</v>
      </c>
      <c r="E37" s="1361"/>
      <c r="F37" s="1362">
        <v>1.3950000000000002</v>
      </c>
      <c r="G37" s="1363"/>
      <c r="H37" s="1260">
        <v>0</v>
      </c>
      <c r="I37" s="1260">
        <v>0</v>
      </c>
      <c r="J37" s="1260">
        <v>7.3249999999999993</v>
      </c>
      <c r="K37" s="1262">
        <v>7.3249999999999993</v>
      </c>
      <c r="L37" s="1260">
        <v>18.5</v>
      </c>
      <c r="M37" s="1260">
        <v>10</v>
      </c>
      <c r="N37" s="1260">
        <v>57.25</v>
      </c>
      <c r="O37" s="1262">
        <v>85.75</v>
      </c>
      <c r="P37" s="1263">
        <v>93.075000000000003</v>
      </c>
      <c r="Q37" s="1260">
        <v>0.65</v>
      </c>
      <c r="R37" s="1260">
        <v>16.8</v>
      </c>
      <c r="S37" s="1260">
        <v>49.6</v>
      </c>
      <c r="T37" s="1262">
        <v>67.050000000000011</v>
      </c>
      <c r="U37" s="1264">
        <v>160.12500000000003</v>
      </c>
      <c r="V37" s="1260">
        <v>52.080000000000005</v>
      </c>
      <c r="W37" s="1260">
        <v>0</v>
      </c>
      <c r="X37" s="1260">
        <v>0</v>
      </c>
      <c r="Y37" s="1262">
        <v>52.080000000000005</v>
      </c>
      <c r="Z37" s="1263">
        <v>34.924999999999997</v>
      </c>
      <c r="AA37" s="1265">
        <v>212.20500000000004</v>
      </c>
      <c r="AB37" s="1266">
        <v>0</v>
      </c>
      <c r="AC37" s="1260">
        <v>0</v>
      </c>
      <c r="AD37" s="1260">
        <v>0.14649999999999999</v>
      </c>
      <c r="AE37" s="1262">
        <v>0.14649999999999999</v>
      </c>
      <c r="AF37" s="1260">
        <v>0.37</v>
      </c>
      <c r="AG37" s="1260">
        <v>0.2</v>
      </c>
      <c r="AH37" s="1260">
        <v>1.2549999999999999</v>
      </c>
      <c r="AI37" s="1262">
        <v>1.825</v>
      </c>
      <c r="AJ37" s="1263">
        <v>1.9715</v>
      </c>
      <c r="AK37" s="1260">
        <v>1.3000000000000001E-2</v>
      </c>
      <c r="AL37" s="1260">
        <v>0.33599999999999997</v>
      </c>
      <c r="AM37" s="1260">
        <v>1.0635000000000001</v>
      </c>
      <c r="AN37" s="1262">
        <v>1.4125000000000001</v>
      </c>
      <c r="AO37" s="1264">
        <v>3.3840000000000003</v>
      </c>
      <c r="AP37" s="1260">
        <v>1.1166749999999999</v>
      </c>
      <c r="AQ37" s="1260">
        <v>0</v>
      </c>
      <c r="AR37" s="1260">
        <v>0</v>
      </c>
      <c r="AS37" s="1262">
        <v>1.1166749999999999</v>
      </c>
      <c r="AT37" s="1263">
        <v>2.529175</v>
      </c>
      <c r="AU37" s="1267">
        <v>4.5006750000000002</v>
      </c>
      <c r="AW37" s="735">
        <v>1.9844999999999999</v>
      </c>
    </row>
    <row r="38" spans="1:49" ht="30" customHeight="1" thickBot="1">
      <c r="A38" s="209"/>
      <c r="B38" s="1700" t="s">
        <v>224</v>
      </c>
      <c r="C38" s="1701"/>
      <c r="D38" s="1330">
        <v>100</v>
      </c>
      <c r="E38" s="1364"/>
      <c r="F38" s="1365">
        <v>11.8291</v>
      </c>
      <c r="G38" s="1282"/>
      <c r="H38" s="1366">
        <v>0.42129856085925921</v>
      </c>
      <c r="I38" s="1334">
        <v>0.67616605796296303</v>
      </c>
      <c r="J38" s="1334">
        <v>0.88751466814814828</v>
      </c>
      <c r="K38" s="1334">
        <v>1.0890268178345679</v>
      </c>
      <c r="L38" s="1336">
        <v>1.3795142407407406</v>
      </c>
      <c r="M38" s="1336">
        <v>0.60910037037037046</v>
      </c>
      <c r="N38" s="1336">
        <v>1.0456015924115845</v>
      </c>
      <c r="O38" s="1335">
        <v>3.0342162035226954</v>
      </c>
      <c r="P38" s="1367">
        <v>4.1232430213572631</v>
      </c>
      <c r="Q38" s="1368">
        <v>4.5872955360623788E-2</v>
      </c>
      <c r="R38" s="1334">
        <v>0.28851423001949322</v>
      </c>
      <c r="S38" s="1334">
        <v>1.0866845925925925</v>
      </c>
      <c r="T38" s="1335">
        <v>1.4263500086419756</v>
      </c>
      <c r="U38" s="1338">
        <v>5.5443147993299728</v>
      </c>
      <c r="V38" s="1334">
        <v>1.1699450577777779</v>
      </c>
      <c r="W38" s="1334">
        <v>0</v>
      </c>
      <c r="X38" s="1334">
        <v>0</v>
      </c>
      <c r="Y38" s="1335">
        <v>1.1699450577777779</v>
      </c>
      <c r="Z38" s="1337">
        <v>1.7489668357504871</v>
      </c>
      <c r="AA38" s="1339">
        <v>6.7142598571077521</v>
      </c>
      <c r="AB38" s="1323">
        <v>2.4889170619555556</v>
      </c>
      <c r="AC38" s="1369">
        <v>3.6456817688888892</v>
      </c>
      <c r="AD38" s="1369">
        <v>4.3112918466666663</v>
      </c>
      <c r="AE38" s="1370">
        <v>10.445890677511111</v>
      </c>
      <c r="AF38" s="1369">
        <v>5.1005497222222216</v>
      </c>
      <c r="AG38" s="1369">
        <v>3.4975111111111117</v>
      </c>
      <c r="AH38" s="1369">
        <v>6.3988259329573944</v>
      </c>
      <c r="AI38" s="1370">
        <v>14.996886766290729</v>
      </c>
      <c r="AJ38" s="1371">
        <v>25.442777443801837</v>
      </c>
      <c r="AK38" s="1369">
        <v>0.56915807309941513</v>
      </c>
      <c r="AL38" s="1369">
        <v>1.5684387426900583</v>
      </c>
      <c r="AM38" s="1369">
        <v>3.843366111111111</v>
      </c>
      <c r="AN38" s="1370">
        <v>5.9809629269005846</v>
      </c>
      <c r="AO38" s="1372">
        <v>31.423740370702422</v>
      </c>
      <c r="AP38" s="1369">
        <v>4.4694279500000003E-2</v>
      </c>
      <c r="AQ38" s="1369">
        <v>0</v>
      </c>
      <c r="AR38" s="1369">
        <v>0</v>
      </c>
      <c r="AS38" s="1370">
        <v>4.4694279500000003E-2</v>
      </c>
      <c r="AT38" s="1371">
        <v>6.0256572064005844</v>
      </c>
      <c r="AU38" s="1373">
        <v>31.468434650202422</v>
      </c>
      <c r="AW38" s="735">
        <v>26.011935516901254</v>
      </c>
    </row>
    <row r="39" spans="1:49" ht="29.25" hidden="1" customHeight="1" thickTop="1">
      <c r="C39" s="1125" t="s">
        <v>832</v>
      </c>
      <c r="F39" s="208">
        <v>11.829099999999999</v>
      </c>
      <c r="G39" s="208"/>
      <c r="H39" s="208">
        <v>0.42129856085925921</v>
      </c>
      <c r="I39" s="208">
        <v>0.67616605796296303</v>
      </c>
      <c r="J39" s="208">
        <v>0.88751466814814828</v>
      </c>
      <c r="K39" s="208">
        <v>1.0890268178345679</v>
      </c>
      <c r="L39" s="208">
        <v>1.3795142407407406</v>
      </c>
      <c r="M39" s="208">
        <v>0.60910037037037046</v>
      </c>
      <c r="N39" s="208">
        <v>1.0456015924115845</v>
      </c>
      <c r="O39" s="208">
        <v>3.0342162035226954</v>
      </c>
      <c r="P39" s="208">
        <v>4.1232430213572631</v>
      </c>
      <c r="Q39" s="208">
        <v>4.5872955360623788E-2</v>
      </c>
      <c r="R39" s="208">
        <v>0.28851423001949322</v>
      </c>
      <c r="S39" s="208">
        <v>1.0848327407407408</v>
      </c>
      <c r="T39" s="208">
        <v>1.4244981567901238</v>
      </c>
      <c r="U39" s="208">
        <v>5.5424629474781204</v>
      </c>
      <c r="V39" s="208">
        <v>0</v>
      </c>
      <c r="W39" s="208">
        <v>0</v>
      </c>
      <c r="X39" s="208">
        <v>0</v>
      </c>
      <c r="Y39" s="208">
        <v>0</v>
      </c>
      <c r="Z39" s="208">
        <v>0.9562199261208576</v>
      </c>
      <c r="AA39" s="208">
        <v>5.5424629474781204</v>
      </c>
      <c r="AB39" s="208">
        <v>2.4889170619555556</v>
      </c>
      <c r="AC39" s="208">
        <v>3.6456817688888892</v>
      </c>
      <c r="AD39" s="208">
        <v>4.3112918466666663</v>
      </c>
      <c r="AE39" s="208">
        <v>10.445890677511111</v>
      </c>
      <c r="AF39" s="208">
        <v>5.1005497222222225</v>
      </c>
      <c r="AG39" s="208">
        <v>3.4975111111111112</v>
      </c>
      <c r="AH39" s="208">
        <v>6.3988259329573927</v>
      </c>
      <c r="AI39" s="208">
        <v>14.996886766290725</v>
      </c>
      <c r="AJ39" s="208">
        <v>25.442777443801837</v>
      </c>
      <c r="AK39" s="208">
        <v>0.56915807309941513</v>
      </c>
      <c r="AL39" s="208">
        <v>1.5684387426900588</v>
      </c>
      <c r="AM39" s="208">
        <v>3.8155883333333334</v>
      </c>
      <c r="AN39" s="208">
        <v>5.9531851491228078</v>
      </c>
      <c r="AO39" s="208">
        <v>31.395962592924647</v>
      </c>
    </row>
    <row r="40" spans="1:49" hidden="1">
      <c r="C40" s="955" t="s">
        <v>782</v>
      </c>
      <c r="D40" s="206">
        <v>100</v>
      </c>
      <c r="E40" s="206"/>
      <c r="F40" s="206">
        <v>11.8291</v>
      </c>
      <c r="G40" s="206"/>
      <c r="H40" s="206">
        <v>0.29790496909915865</v>
      </c>
      <c r="I40" s="206">
        <v>0.46454876416453539</v>
      </c>
      <c r="J40" s="206">
        <v>0.62963586817204753</v>
      </c>
      <c r="K40" s="206">
        <v>0.46143244052845056</v>
      </c>
      <c r="L40" s="206">
        <v>0.54669494036338218</v>
      </c>
      <c r="M40" s="206">
        <v>0.19295124584206849</v>
      </c>
      <c r="N40" s="206">
        <v>0.41435654291848861</v>
      </c>
      <c r="O40" s="206">
        <v>1.1540027291239394</v>
      </c>
      <c r="P40" s="206">
        <v>1.6154351696523899</v>
      </c>
      <c r="Q40" s="206">
        <v>7.0522839214784874E-2</v>
      </c>
      <c r="R40" s="206">
        <v>0</v>
      </c>
      <c r="S40" s="206">
        <v>0</v>
      </c>
      <c r="T40" s="206">
        <v>0.48580462933824164</v>
      </c>
      <c r="U40" s="206">
        <v>1.6859580088671748</v>
      </c>
      <c r="V40" s="206">
        <v>0</v>
      </c>
      <c r="W40" s="206">
        <v>0</v>
      </c>
      <c r="X40" s="206">
        <v>0</v>
      </c>
      <c r="Y40" s="206">
        <v>0</v>
      </c>
      <c r="Z40" s="206">
        <v>2.6022839214784866E-2</v>
      </c>
      <c r="AA40" s="206">
        <v>1.6859580088671748</v>
      </c>
      <c r="AB40" s="206">
        <v>2.3878251619555559</v>
      </c>
      <c r="AC40" s="206">
        <v>3.6930061022222223</v>
      </c>
      <c r="AD40" s="206">
        <v>4.28486528</v>
      </c>
      <c r="AE40" s="206">
        <v>10.365696544177778</v>
      </c>
      <c r="AF40" s="206">
        <v>4.0619176467505236</v>
      </c>
      <c r="AG40" s="206">
        <v>1.8884262054507339</v>
      </c>
      <c r="AH40" s="206">
        <v>3.6650352792003593</v>
      </c>
      <c r="AI40" s="206">
        <v>9.6153791314016175</v>
      </c>
      <c r="AJ40" s="206">
        <v>19.981075675579397</v>
      </c>
      <c r="AK40" s="206">
        <v>2.5550908347559145</v>
      </c>
      <c r="AL40" s="206">
        <v>0</v>
      </c>
      <c r="AM40" s="206">
        <v>0</v>
      </c>
      <c r="AN40" s="206">
        <v>2.5550908347559145</v>
      </c>
      <c r="AO40" s="206">
        <v>22.536166510335313</v>
      </c>
      <c r="AP40" s="206">
        <v>0</v>
      </c>
      <c r="AQ40" s="206">
        <v>0</v>
      </c>
      <c r="AR40" s="206">
        <v>0</v>
      </c>
      <c r="AS40" s="206">
        <v>0</v>
      </c>
      <c r="AT40" s="206">
        <v>2.5550908347559145</v>
      </c>
      <c r="AU40" s="206">
        <v>22.536166510335313</v>
      </c>
    </row>
    <row r="41" spans="1:49" hidden="1">
      <c r="C41" s="955" t="s">
        <v>783</v>
      </c>
      <c r="D41" s="206">
        <v>0</v>
      </c>
      <c r="F41" s="206">
        <v>0</v>
      </c>
      <c r="G41" s="206">
        <v>0</v>
      </c>
      <c r="H41" s="206">
        <v>0.12339359176010056</v>
      </c>
      <c r="I41" s="206">
        <v>0.21161729379842764</v>
      </c>
      <c r="J41" s="206">
        <v>0.25787879997610075</v>
      </c>
      <c r="K41" s="206">
        <v>0.62759437730611733</v>
      </c>
      <c r="L41" s="206">
        <v>0.83281930037735841</v>
      </c>
      <c r="M41" s="206">
        <v>0.41614912452830199</v>
      </c>
      <c r="N41" s="206">
        <v>0.6312450494930959</v>
      </c>
      <c r="O41" s="206">
        <v>1.880213474398756</v>
      </c>
      <c r="P41" s="206">
        <v>2.5078078517048734</v>
      </c>
      <c r="Q41" s="206">
        <v>-2.4649883854161087E-2</v>
      </c>
      <c r="R41" s="206">
        <v>0.28851423001949322</v>
      </c>
      <c r="S41" s="206">
        <v>1.0866845925925925</v>
      </c>
      <c r="T41" s="206">
        <v>0.94054537930373394</v>
      </c>
      <c r="U41" s="206">
        <v>3.858356790462798</v>
      </c>
      <c r="V41" s="206">
        <v>1.1699450577777779</v>
      </c>
      <c r="W41" s="206">
        <v>0</v>
      </c>
      <c r="X41" s="206">
        <v>0</v>
      </c>
      <c r="Y41" s="206">
        <v>1.1699450577777779</v>
      </c>
      <c r="Z41" s="206">
        <v>1.7229439965357023</v>
      </c>
      <c r="AA41" s="206">
        <v>5.0283018482405772</v>
      </c>
      <c r="AB41" s="206">
        <v>0.10109189999999968</v>
      </c>
      <c r="AC41" s="206">
        <v>-4.732433333333308E-2</v>
      </c>
      <c r="AD41" s="206">
        <v>2.6426566666666318E-2</v>
      </c>
      <c r="AE41" s="206">
        <v>8.0194133333332474E-2</v>
      </c>
      <c r="AF41" s="206">
        <v>1.038632075471698</v>
      </c>
      <c r="AG41" s="206">
        <v>1.6090849056603778</v>
      </c>
      <c r="AH41" s="206">
        <v>2.7337906537570351</v>
      </c>
      <c r="AI41" s="206">
        <v>5.3815076348891111</v>
      </c>
      <c r="AJ41" s="206">
        <v>5.46170176822244</v>
      </c>
      <c r="AK41" s="206">
        <v>-1.9859327616564992</v>
      </c>
      <c r="AL41" s="206">
        <v>1.5684387426900583</v>
      </c>
      <c r="AM41" s="206">
        <v>3.843366111111111</v>
      </c>
      <c r="AN41" s="206">
        <v>3.4258720921446701</v>
      </c>
      <c r="AO41" s="206">
        <v>8.8875738603671088</v>
      </c>
      <c r="AP41" s="206">
        <v>4.4694279500000003E-2</v>
      </c>
      <c r="AQ41" s="206">
        <v>0</v>
      </c>
      <c r="AR41" s="206">
        <v>0</v>
      </c>
      <c r="AS41" s="206">
        <v>4.4694279500000003E-2</v>
      </c>
      <c r="AT41" s="206">
        <v>3.47056637164467</v>
      </c>
      <c r="AU41" s="206">
        <v>8.9322681398671087</v>
      </c>
    </row>
    <row r="42" spans="1:49" s="207" customFormat="1" hidden="1">
      <c r="C42" s="1125" t="s">
        <v>831</v>
      </c>
      <c r="F42" s="208">
        <v>11.8291</v>
      </c>
      <c r="K42" s="208"/>
      <c r="O42" s="208"/>
      <c r="P42" s="208"/>
      <c r="T42" s="208"/>
      <c r="U42" s="208"/>
      <c r="Y42" s="208"/>
      <c r="Z42" s="208"/>
      <c r="AA42" s="208"/>
      <c r="AE42" s="208">
        <v>22.274990677511113</v>
      </c>
      <c r="AI42" s="208">
        <v>37.271877443801841</v>
      </c>
      <c r="AJ42" s="208">
        <v>37.271877443801841</v>
      </c>
      <c r="AN42" s="208">
        <v>43.25284037070243</v>
      </c>
      <c r="AO42" s="208">
        <v>43.25284037070243</v>
      </c>
      <c r="AS42" s="208">
        <v>43.297534650202429</v>
      </c>
      <c r="AT42" s="208">
        <v>43.297534650202429</v>
      </c>
      <c r="AU42" s="208"/>
    </row>
    <row r="43" spans="1:49" s="990" customFormat="1" ht="15" hidden="1">
      <c r="C43" s="1052" t="s">
        <v>793</v>
      </c>
      <c r="F43" s="990">
        <v>11.829099999999999</v>
      </c>
      <c r="H43" s="990">
        <v>0.42271332752592594</v>
      </c>
      <c r="I43" s="990">
        <v>0.66107805796296304</v>
      </c>
      <c r="J43" s="990">
        <v>0.8710490681481482</v>
      </c>
      <c r="K43" s="990">
        <v>1.04100761783457</v>
      </c>
      <c r="L43" s="990">
        <v>1.3795142407407406</v>
      </c>
      <c r="M43" s="990">
        <v>0.60910037037037046</v>
      </c>
      <c r="N43" s="990">
        <v>0.44094457486772481</v>
      </c>
      <c r="O43" s="990">
        <v>2.4295591859788361</v>
      </c>
      <c r="P43" s="990">
        <v>3.4705668038134041</v>
      </c>
      <c r="Q43" s="990">
        <v>0.11486053333333335</v>
      </c>
      <c r="R43" s="990">
        <v>0</v>
      </c>
      <c r="S43" s="990">
        <v>0</v>
      </c>
      <c r="T43" s="990">
        <v>0.56283676790123471</v>
      </c>
      <c r="U43" s="990">
        <v>3.5854273371467364</v>
      </c>
      <c r="V43" s="990">
        <v>0</v>
      </c>
      <c r="W43" s="990">
        <v>0</v>
      </c>
      <c r="X43" s="990">
        <v>0</v>
      </c>
      <c r="Y43" s="990">
        <v>0</v>
      </c>
      <c r="Z43" s="990">
        <v>7.0360533333333322E-2</v>
      </c>
      <c r="AA43" s="990">
        <v>3.5854273371467364</v>
      </c>
      <c r="AB43" s="990">
        <v>2.4543996952888891</v>
      </c>
      <c r="AC43" s="990">
        <v>3.6155057688888892</v>
      </c>
      <c r="AD43" s="990">
        <v>4.278360646666667</v>
      </c>
      <c r="AE43" s="990">
        <v>10.348266110844445</v>
      </c>
      <c r="AF43" s="990">
        <v>5.1005497222222225</v>
      </c>
      <c r="AG43" s="990">
        <v>3.4975111111111112</v>
      </c>
      <c r="AH43" s="990">
        <v>3.1824741785714288</v>
      </c>
      <c r="AI43" s="990">
        <v>11.780535011904762</v>
      </c>
      <c r="AJ43" s="990">
        <v>22.128801122749209</v>
      </c>
      <c r="AK43" s="990">
        <v>0.72799133333333332</v>
      </c>
      <c r="AL43" s="990">
        <v>0</v>
      </c>
      <c r="AM43" s="990">
        <v>0</v>
      </c>
      <c r="AN43" s="990">
        <v>0.72799133333333332</v>
      </c>
      <c r="AO43" s="990">
        <v>22.856792456082541</v>
      </c>
      <c r="AP43" s="990">
        <v>0</v>
      </c>
      <c r="AQ43" s="990">
        <v>0</v>
      </c>
      <c r="AR43" s="990">
        <v>0</v>
      </c>
      <c r="AS43" s="990">
        <v>0</v>
      </c>
      <c r="AT43" s="990">
        <v>0.72799133333333332</v>
      </c>
      <c r="AU43" s="990">
        <v>22.856792456082541</v>
      </c>
    </row>
    <row r="44" spans="1:49" hidden="1">
      <c r="F44" s="206">
        <v>0</v>
      </c>
      <c r="H44" s="206">
        <v>-1.4147666666667336E-3</v>
      </c>
      <c r="I44" s="206">
        <v>1.508799999999999E-2</v>
      </c>
      <c r="J44" s="206">
        <v>1.646560000000008E-2</v>
      </c>
      <c r="K44" s="206">
        <v>4.801919999999793E-2</v>
      </c>
      <c r="L44" s="206">
        <v>0</v>
      </c>
      <c r="M44" s="206">
        <v>0</v>
      </c>
      <c r="N44" s="206">
        <v>0.6046570175438597</v>
      </c>
      <c r="O44" s="206">
        <v>0.60465701754385925</v>
      </c>
      <c r="P44" s="206">
        <v>0.65267621754385896</v>
      </c>
      <c r="Q44" s="206">
        <v>-6.898757797270956E-2</v>
      </c>
      <c r="R44" s="206">
        <v>0.28851423001949322</v>
      </c>
      <c r="S44" s="206">
        <v>1.0866845925925925</v>
      </c>
      <c r="T44" s="206">
        <v>0.86351324074074087</v>
      </c>
      <c r="U44" s="206">
        <v>1.9588874621832364</v>
      </c>
      <c r="V44" s="206">
        <v>1.1699450577777779</v>
      </c>
      <c r="W44" s="206">
        <v>0</v>
      </c>
      <c r="X44" s="206">
        <v>0</v>
      </c>
      <c r="Y44" s="206">
        <v>1.1699450577777779</v>
      </c>
      <c r="Z44" s="206">
        <v>1.6786063024171538</v>
      </c>
      <c r="AA44" s="206">
        <v>3.1288325199610156</v>
      </c>
      <c r="AB44" s="206">
        <v>3.4517366666666494E-2</v>
      </c>
      <c r="AC44" s="206">
        <v>3.0175999999999981E-2</v>
      </c>
      <c r="AD44" s="206">
        <v>3.2931199999999272E-2</v>
      </c>
      <c r="AE44" s="206">
        <v>9.7624566666665302E-2</v>
      </c>
      <c r="AF44" s="206">
        <v>0</v>
      </c>
      <c r="AG44" s="206">
        <v>0</v>
      </c>
      <c r="AH44" s="206">
        <v>3.2163517543859657</v>
      </c>
      <c r="AI44" s="206">
        <v>3.2163517543859665</v>
      </c>
      <c r="AJ44" s="206">
        <v>3.3139763210526283</v>
      </c>
      <c r="AK44" s="206">
        <v>-0.15883326023391819</v>
      </c>
      <c r="AL44" s="206">
        <v>1.5684387426900583</v>
      </c>
      <c r="AM44" s="206">
        <v>3.843366111111111</v>
      </c>
      <c r="AN44" s="206">
        <v>5.252971593567251</v>
      </c>
      <c r="AO44" s="206">
        <v>8.566947914619881</v>
      </c>
      <c r="AP44" s="206">
        <v>4.4694279500000003E-2</v>
      </c>
      <c r="AQ44" s="206">
        <v>0</v>
      </c>
      <c r="AR44" s="206">
        <v>0</v>
      </c>
      <c r="AS44" s="206">
        <v>4.4694279500000003E-2</v>
      </c>
      <c r="AT44" s="206">
        <v>5.2976658730672508</v>
      </c>
      <c r="AU44" s="206">
        <v>8.6116421941198809</v>
      </c>
    </row>
    <row r="45" spans="1:49" hidden="1">
      <c r="F45" s="1694" t="s">
        <v>833</v>
      </c>
      <c r="G45" s="1695"/>
      <c r="H45" s="1695"/>
      <c r="I45" s="1695"/>
      <c r="J45" s="1695"/>
      <c r="K45" s="1695"/>
      <c r="L45" s="1696"/>
      <c r="AT45" s="206"/>
    </row>
    <row r="46" spans="1:49" hidden="1">
      <c r="C46" s="1126"/>
      <c r="F46" s="1128">
        <v>2020</v>
      </c>
      <c r="G46" s="1128"/>
      <c r="H46" s="1693">
        <v>2021</v>
      </c>
      <c r="I46" s="1693"/>
      <c r="J46" s="1693"/>
      <c r="K46" s="1693"/>
      <c r="L46" s="1693"/>
    </row>
    <row r="47" spans="1:49" hidden="1">
      <c r="C47" s="1126"/>
      <c r="F47" s="1129"/>
      <c r="G47" s="1128"/>
      <c r="H47" s="1128" t="s">
        <v>317</v>
      </c>
      <c r="I47" s="1128" t="s">
        <v>320</v>
      </c>
      <c r="J47" s="1128" t="s">
        <v>325</v>
      </c>
      <c r="K47" s="1128" t="s">
        <v>331</v>
      </c>
      <c r="L47" s="1128" t="s">
        <v>152</v>
      </c>
      <c r="N47" s="1128" t="s">
        <v>323</v>
      </c>
      <c r="O47" s="1128" t="s">
        <v>326</v>
      </c>
      <c r="P47" s="1128" t="s">
        <v>834</v>
      </c>
    </row>
    <row r="48" spans="1:49" ht="15" hidden="1">
      <c r="C48" s="1133" t="s">
        <v>748</v>
      </c>
      <c r="D48" s="1131"/>
      <c r="E48" s="1132"/>
      <c r="F48" s="1130">
        <v>7.4775999999999998</v>
      </c>
      <c r="G48" s="1127"/>
      <c r="H48" s="1130">
        <v>6.3811545663999993</v>
      </c>
      <c r="I48" s="1130">
        <v>10.142011400793653</v>
      </c>
      <c r="J48" s="1130">
        <v>2.9620377222222221</v>
      </c>
      <c r="K48" s="1130">
        <v>1.7910672416666669</v>
      </c>
      <c r="L48" s="1134">
        <v>28.753870931082538</v>
      </c>
      <c r="N48" s="1130">
        <v>16.523165967193652</v>
      </c>
      <c r="O48" s="1130">
        <v>4.7531049638888891</v>
      </c>
      <c r="P48" s="1130">
        <v>19.485203689415876</v>
      </c>
    </row>
    <row r="49" spans="3:16" ht="15" hidden="1">
      <c r="C49" s="1133" t="s">
        <v>749</v>
      </c>
      <c r="D49" s="1131"/>
      <c r="E49" s="1132"/>
      <c r="F49" s="1130">
        <v>2.9565000000000001</v>
      </c>
      <c r="G49" s="1127"/>
      <c r="H49" s="1130">
        <v>3.9182361111111117</v>
      </c>
      <c r="I49" s="1130">
        <v>3.0298753654970758</v>
      </c>
      <c r="J49" s="1130">
        <v>1.6064252046783625</v>
      </c>
      <c r="K49" s="1130">
        <v>1.5616857083333331</v>
      </c>
      <c r="L49" s="1134">
        <v>13.072722389619884</v>
      </c>
      <c r="N49" s="1130">
        <v>6.9481114766081875</v>
      </c>
      <c r="O49" s="1130">
        <v>3.1681109130116956</v>
      </c>
      <c r="P49" s="1130">
        <v>8.5545366812865495</v>
      </c>
    </row>
    <row r="50" spans="3:16" ht="15" hidden="1">
      <c r="C50" s="1133" t="s">
        <v>750</v>
      </c>
      <c r="D50" s="1131"/>
      <c r="E50" s="1132"/>
      <c r="F50" s="1130">
        <v>1.3950000000000002</v>
      </c>
      <c r="G50" s="1127"/>
      <c r="H50" s="1130">
        <v>0.14649999999999999</v>
      </c>
      <c r="I50" s="1130">
        <v>1.825</v>
      </c>
      <c r="J50" s="1130">
        <v>1.4125000000000001</v>
      </c>
      <c r="K50" s="1130">
        <v>1.1166749999999999</v>
      </c>
      <c r="L50" s="1134">
        <v>5.8956749999999998</v>
      </c>
      <c r="N50" s="1130">
        <v>1.9715</v>
      </c>
      <c r="O50" s="1130">
        <v>2.529175</v>
      </c>
      <c r="P50" s="1130">
        <v>3.3840000000000003</v>
      </c>
    </row>
    <row r="51" spans="3:16" ht="15" hidden="1">
      <c r="C51" s="1133" t="s">
        <v>152</v>
      </c>
      <c r="D51" s="1131"/>
      <c r="E51" s="1132"/>
      <c r="F51" s="1130">
        <v>11.8291</v>
      </c>
      <c r="G51" s="1127"/>
      <c r="H51" s="1130">
        <v>10.445890677511111</v>
      </c>
      <c r="I51" s="1130">
        <v>14.996886766290729</v>
      </c>
      <c r="J51" s="1130">
        <v>5.9809629269005846</v>
      </c>
      <c r="K51" s="1130">
        <v>4.4694279500000003E-2</v>
      </c>
      <c r="L51" s="1134">
        <v>43.297534650202429</v>
      </c>
      <c r="N51" s="1130">
        <v>25.442777443801837</v>
      </c>
      <c r="O51" s="1130">
        <v>6.0256572064005844</v>
      </c>
      <c r="P51" s="1130">
        <v>31.423740370702422</v>
      </c>
    </row>
    <row r="52" spans="3:16" ht="15" hidden="1">
      <c r="C52" s="1133" t="s">
        <v>830</v>
      </c>
      <c r="D52" s="1131"/>
      <c r="E52" s="1132"/>
      <c r="F52" s="1134">
        <v>11.829099999999999</v>
      </c>
      <c r="G52" s="1135"/>
      <c r="H52" s="1134">
        <v>22.274990677511113</v>
      </c>
      <c r="I52" s="1134">
        <v>37.271877443801841</v>
      </c>
      <c r="J52" s="1134">
        <v>43.25284037070243</v>
      </c>
      <c r="K52" s="1134">
        <v>43.297534650202429</v>
      </c>
      <c r="L52" s="1134">
        <v>43.297534650202429</v>
      </c>
      <c r="N52" s="1130">
        <v>37.271877443801841</v>
      </c>
      <c r="O52" s="1130">
        <v>43.297534650202429</v>
      </c>
      <c r="P52" s="1130">
        <v>43.25284037070243</v>
      </c>
    </row>
    <row r="53" spans="3:16" hidden="1"/>
    <row r="54" spans="3:16" hidden="1"/>
    <row r="55" spans="3:16" ht="15" thickTop="1"/>
  </sheetData>
  <sheetProtection password="E86C" sheet="1" objects="1" scenarios="1"/>
  <mergeCells count="15">
    <mergeCell ref="H46:L46"/>
    <mergeCell ref="F45:L45"/>
    <mergeCell ref="B1:J1"/>
    <mergeCell ref="B2:J2"/>
    <mergeCell ref="C3:J3"/>
    <mergeCell ref="B38:C38"/>
    <mergeCell ref="B35:B37"/>
    <mergeCell ref="AW5:AW7"/>
    <mergeCell ref="B18:D18"/>
    <mergeCell ref="H5:AA6"/>
    <mergeCell ref="AB5:AU6"/>
    <mergeCell ref="B26:D26"/>
    <mergeCell ref="E5:F6"/>
    <mergeCell ref="B5:C7"/>
    <mergeCell ref="D5:D7"/>
  </mergeCells>
  <printOptions verticalCentered="1" headings="1"/>
  <pageMargins left="0" right="0" top="1" bottom="0" header="0.8" footer="0.8"/>
  <pageSetup paperSize="9" scale="65" orientation="landscape" r:id="rId1"/>
  <headerFooter>
    <oddHeader xml:space="preserve">&amp;LCFAVC Quarterly Report Janaury -March 2021 &amp;CPHYSICAL PROGRESS
 DMF FORMAT&amp;RAnnex 1.3 </oddHeader>
    <oddFooter>&amp;LAESA &amp; SBK</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FB63"/>
  <sheetViews>
    <sheetView view="pageBreakPreview" zoomScale="70" zoomScaleNormal="70" zoomScaleSheetLayoutView="70" workbookViewId="0">
      <pane xSplit="8" ySplit="8" topLeftCell="I9" activePane="bottomRight" state="frozen"/>
      <selection pane="topRight" activeCell="I1" sqref="I1"/>
      <selection pane="bottomLeft" activeCell="A9" sqref="A9"/>
      <selection pane="bottomRight" activeCell="K20" sqref="K20"/>
    </sheetView>
  </sheetViews>
  <sheetFormatPr defaultColWidth="9.140625" defaultRowHeight="15"/>
  <cols>
    <col min="1" max="1" width="0.42578125" style="165" customWidth="1"/>
    <col min="2" max="2" width="7.28515625" style="165" customWidth="1"/>
    <col min="3" max="3" width="28" style="1014" customWidth="1"/>
    <col min="4" max="4" width="31.140625" style="165" customWidth="1"/>
    <col min="5" max="5" width="8.5703125" style="165" customWidth="1"/>
    <col min="6" max="6" width="9" style="165" customWidth="1"/>
    <col min="7" max="7" width="8.42578125" style="165" customWidth="1"/>
    <col min="8" max="8" width="0.85546875" style="165" hidden="1" customWidth="1"/>
    <col min="9" max="10" width="9.140625" style="165" customWidth="1"/>
    <col min="11" max="11" width="12" style="165" customWidth="1"/>
    <col min="12" max="12" width="0.85546875" style="165" hidden="1" customWidth="1"/>
    <col min="13" max="13" width="10.42578125" style="165" customWidth="1"/>
    <col min="14" max="14" width="12" style="165" customWidth="1"/>
    <col min="15" max="15" width="0.85546875" style="165" hidden="1" customWidth="1"/>
    <col min="16" max="16" width="10.140625" style="165" customWidth="1"/>
    <col min="17" max="17" width="11.7109375" style="165" customWidth="1"/>
    <col min="18" max="18" width="10" style="165" customWidth="1"/>
    <col min="19" max="19" width="0.85546875" style="165" hidden="1" customWidth="1"/>
    <col min="20" max="20" width="10" style="165" customWidth="1"/>
    <col min="21" max="21" width="11.42578125" style="165" customWidth="1"/>
    <col min="22" max="22" width="10" style="165" customWidth="1"/>
    <col min="23" max="23" width="0.85546875" style="165" hidden="1" customWidth="1"/>
    <col min="24" max="24" width="10" style="165" customWidth="1"/>
    <col min="25" max="25" width="12.5703125" style="165" customWidth="1"/>
    <col min="26" max="26" width="10" style="165" customWidth="1"/>
    <col min="27" max="27" width="0.85546875" style="165" hidden="1" customWidth="1"/>
    <col min="28" max="28" width="10" style="165" customWidth="1"/>
    <col min="29" max="29" width="11.85546875" style="165" customWidth="1"/>
    <col min="30" max="30" width="10.5703125" style="165" customWidth="1"/>
    <col min="31" max="31" width="0.85546875" style="165" hidden="1" customWidth="1"/>
    <col min="32" max="32" width="11.28515625" style="165" customWidth="1"/>
    <col min="33" max="33" width="8.7109375" style="165" customWidth="1"/>
    <col min="34" max="34" width="11.7109375" style="165" customWidth="1"/>
    <col min="35" max="35" width="11.85546875" style="165" customWidth="1"/>
    <col min="36" max="37" width="8.7109375" style="165" hidden="1" customWidth="1"/>
    <col min="38" max="38" width="14.5703125" style="165" hidden="1" customWidth="1"/>
    <col min="39" max="39" width="0.85546875" style="165" hidden="1" customWidth="1"/>
    <col min="40" max="40" width="11.140625" style="165" customWidth="1"/>
    <col min="41" max="41" width="8.7109375" style="165" customWidth="1"/>
    <col min="42" max="42" width="11.5703125" style="165" customWidth="1"/>
    <col min="43" max="43" width="10.42578125" style="165" customWidth="1"/>
    <col min="44" max="46" width="13.28515625" style="165" hidden="1" customWidth="1"/>
    <col min="47" max="47" width="0.85546875" style="165" hidden="1" customWidth="1"/>
    <col min="48" max="48" width="11.140625" style="165" customWidth="1"/>
    <col min="49" max="49" width="10" style="165" customWidth="1"/>
    <col min="50" max="50" width="11.85546875" style="165" customWidth="1"/>
    <col min="51" max="51" width="10.140625" style="165" customWidth="1"/>
    <col min="52" max="54" width="13.28515625" style="165" hidden="1" customWidth="1"/>
    <col min="55" max="55" width="0.85546875" style="165" hidden="1" customWidth="1"/>
    <col min="56" max="56" width="10.140625" style="165" customWidth="1"/>
    <col min="57" max="57" width="10" style="165" customWidth="1"/>
    <col min="58" max="58" width="11.140625" style="165" customWidth="1"/>
    <col min="59" max="59" width="10" style="165" customWidth="1"/>
    <col min="60" max="62" width="13.28515625" style="165" hidden="1" customWidth="1"/>
    <col min="63" max="63" width="0.85546875" style="165" hidden="1" customWidth="1"/>
    <col min="64" max="65" width="10.7109375" style="165" customWidth="1"/>
    <col min="66" max="66" width="11.28515625" style="165" customWidth="1"/>
    <col min="67" max="67" width="10.7109375" style="165" customWidth="1"/>
    <col min="68" max="68" width="13.28515625" style="165" hidden="1" customWidth="1"/>
    <col min="69" max="69" width="16" style="165" hidden="1" customWidth="1"/>
    <col min="70" max="70" width="13.28515625" style="165" hidden="1" customWidth="1"/>
    <col min="71" max="71" width="0.85546875" style="165" hidden="1" customWidth="1"/>
    <col min="72" max="72" width="10.140625" style="165" customWidth="1"/>
    <col min="73" max="73" width="8.7109375" style="165" customWidth="1"/>
    <col min="74" max="74" width="11.7109375" style="165" customWidth="1"/>
    <col min="75" max="75" width="10.7109375" style="165" customWidth="1"/>
    <col min="76" max="78" width="13.28515625" style="165" hidden="1" customWidth="1"/>
    <col min="79" max="79" width="0.85546875" style="165" hidden="1" customWidth="1"/>
    <col min="80" max="80" width="10.28515625" style="165" customWidth="1"/>
    <col min="81" max="81" width="8.7109375" style="165" customWidth="1"/>
    <col min="82" max="82" width="11" style="165" customWidth="1"/>
    <col min="83" max="83" width="10.42578125" style="165" customWidth="1"/>
    <col min="84" max="86" width="13.28515625" style="165" hidden="1" customWidth="1"/>
    <col min="87" max="87" width="0.85546875" style="165" hidden="1" customWidth="1"/>
    <col min="88" max="88" width="9.7109375" style="165" customWidth="1"/>
    <col min="89" max="89" width="8.7109375" style="165" customWidth="1"/>
    <col min="90" max="90" width="11.28515625" style="165" customWidth="1"/>
    <col min="91" max="91" width="10.5703125" style="165" customWidth="1"/>
    <col min="92" max="94" width="13.28515625" style="165" hidden="1" customWidth="1"/>
    <col min="95" max="95" width="0.85546875" style="165" hidden="1" customWidth="1"/>
    <col min="96" max="96" width="10.28515625" style="165" customWidth="1"/>
    <col min="97" max="97" width="8.7109375" style="165" customWidth="1"/>
    <col min="98" max="98" width="11.140625" style="165" customWidth="1"/>
    <col min="99" max="99" width="10.28515625" style="165" customWidth="1"/>
    <col min="100" max="102" width="13.28515625" style="165" hidden="1" customWidth="1"/>
    <col min="103" max="103" width="0.85546875" style="165" hidden="1" customWidth="1"/>
    <col min="104" max="104" width="10.28515625" style="165" customWidth="1"/>
    <col min="105" max="105" width="8.7109375" style="165" customWidth="1"/>
    <col min="106" max="106" width="11.140625" style="165" customWidth="1"/>
    <col min="107" max="107" width="10.7109375" style="165" customWidth="1"/>
    <col min="108" max="110" width="13.28515625" style="165" hidden="1" customWidth="1"/>
    <col min="111" max="111" width="0.85546875" style="165" hidden="1" customWidth="1"/>
    <col min="112" max="112" width="10.140625" style="165" customWidth="1"/>
    <col min="113" max="113" width="8.7109375" style="165" customWidth="1"/>
    <col min="114" max="114" width="11.7109375" style="165" customWidth="1"/>
    <col min="115" max="115" width="10" style="165" customWidth="1"/>
    <col min="116" max="118" width="13.28515625" style="165" hidden="1" customWidth="1"/>
    <col min="119" max="119" width="0.85546875" style="165" hidden="1" customWidth="1"/>
    <col min="120" max="120" width="10.28515625" style="165" customWidth="1"/>
    <col min="121" max="121" width="8.7109375" style="165" customWidth="1"/>
    <col min="122" max="122" width="11.7109375" style="165" customWidth="1"/>
    <col min="123" max="123" width="10.28515625" style="165" customWidth="1"/>
    <col min="124" max="126" width="13.28515625" style="165" hidden="1" customWidth="1"/>
    <col min="127" max="127" width="0.85546875" style="165" hidden="1" customWidth="1"/>
    <col min="128" max="128" width="10.42578125" style="165" customWidth="1"/>
    <col min="129" max="129" width="8.7109375" style="165" customWidth="1"/>
    <col min="130" max="130" width="12.140625" style="165" customWidth="1"/>
    <col min="131" max="131" width="11.140625" style="165" customWidth="1"/>
    <col min="132" max="134" width="13.28515625" style="165" hidden="1" customWidth="1"/>
    <col min="135" max="135" width="0.85546875" style="165" hidden="1" customWidth="1"/>
    <col min="136" max="136" width="10.28515625" style="165" customWidth="1"/>
    <col min="137" max="137" width="8.7109375" style="165" customWidth="1"/>
    <col min="138" max="138" width="11.42578125" style="165" customWidth="1"/>
    <col min="139" max="139" width="11.140625" style="165" customWidth="1"/>
    <col min="140" max="142" width="13.28515625" style="165" hidden="1" customWidth="1"/>
    <col min="143" max="143" width="0.85546875" style="165" hidden="1" customWidth="1"/>
    <col min="144" max="144" width="9.7109375" style="165" customWidth="1"/>
    <col min="145" max="145" width="8.7109375" style="165" customWidth="1"/>
    <col min="146" max="146" width="11.42578125" style="165" customWidth="1"/>
    <col min="147" max="147" width="10.7109375" style="165" customWidth="1"/>
    <col min="148" max="150" width="13.28515625" style="165" hidden="1" customWidth="1"/>
    <col min="151" max="151" width="0.85546875" style="165" hidden="1" customWidth="1"/>
    <col min="152" max="152" width="10" style="165" customWidth="1"/>
    <col min="153" max="153" width="8.7109375" style="165" customWidth="1"/>
    <col min="154" max="154" width="11.42578125" style="165" customWidth="1"/>
    <col min="155" max="155" width="11.85546875" style="165" customWidth="1"/>
    <col min="156" max="158" width="13.28515625" style="165" hidden="1" customWidth="1"/>
    <col min="159" max="16384" width="9.140625" style="165"/>
  </cols>
  <sheetData>
    <row r="1" spans="1:158" ht="23.1" customHeight="1">
      <c r="A1" s="1582" t="s">
        <v>199</v>
      </c>
      <c r="B1" s="1582"/>
      <c r="C1" s="1582"/>
      <c r="D1" s="1582"/>
      <c r="E1" s="1582"/>
      <c r="F1" s="1582"/>
      <c r="G1" s="1582"/>
      <c r="H1" s="1582"/>
      <c r="I1" s="1582"/>
      <c r="J1" s="1582"/>
      <c r="K1" s="1582"/>
      <c r="L1" s="1582"/>
      <c r="M1" s="1582"/>
      <c r="N1" s="1582"/>
      <c r="O1" s="358"/>
      <c r="P1" s="358"/>
      <c r="Q1" s="358"/>
      <c r="R1" s="358"/>
      <c r="S1" s="358"/>
      <c r="T1" s="358"/>
      <c r="U1" s="358"/>
      <c r="V1" s="358"/>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359"/>
      <c r="DK1" s="359"/>
      <c r="DL1" s="359"/>
      <c r="DM1" s="359"/>
      <c r="DN1" s="359"/>
      <c r="DO1" s="359"/>
      <c r="DP1" s="359"/>
      <c r="DQ1" s="359"/>
      <c r="DR1" s="359"/>
      <c r="DS1" s="359"/>
      <c r="DT1" s="359"/>
      <c r="DU1" s="359"/>
      <c r="DV1" s="359"/>
      <c r="DW1" s="359"/>
      <c r="DX1" s="359"/>
      <c r="DY1" s="359"/>
      <c r="DZ1" s="359"/>
      <c r="EA1" s="359"/>
      <c r="EB1" s="359"/>
      <c r="EC1" s="359"/>
      <c r="ED1" s="359"/>
      <c r="EE1" s="359"/>
      <c r="EF1" s="359">
        <v>10</v>
      </c>
      <c r="EG1" s="359"/>
      <c r="EH1" s="359"/>
      <c r="EI1" s="359"/>
      <c r="EJ1" s="359"/>
      <c r="EK1" s="359"/>
      <c r="EL1" s="359"/>
      <c r="EM1" s="359"/>
      <c r="EN1" s="359"/>
      <c r="EO1" s="359"/>
      <c r="EP1" s="359"/>
      <c r="EQ1" s="359"/>
      <c r="ER1" s="359"/>
      <c r="ES1" s="359"/>
      <c r="ET1" s="359"/>
      <c r="EU1" s="359"/>
      <c r="EV1" s="359"/>
      <c r="EW1" s="359"/>
      <c r="EX1" s="359"/>
      <c r="EY1" s="359"/>
      <c r="EZ1" s="359"/>
      <c r="FA1" s="359"/>
      <c r="FB1" s="359"/>
    </row>
    <row r="2" spans="1:158" ht="23.1" customHeight="1">
      <c r="A2" s="359"/>
      <c r="B2" s="1583" t="s">
        <v>84</v>
      </c>
      <c r="C2" s="1583"/>
      <c r="D2" s="1583"/>
      <c r="E2" s="1583"/>
      <c r="F2" s="1583"/>
      <c r="G2" s="1583"/>
      <c r="H2" s="1583"/>
      <c r="I2" s="1583"/>
      <c r="J2" s="1583"/>
      <c r="K2" s="1583"/>
      <c r="L2" s="1583"/>
      <c r="M2" s="1583"/>
      <c r="N2" s="1583"/>
      <c r="O2" s="360"/>
      <c r="P2" s="360"/>
      <c r="Q2" s="360"/>
      <c r="R2" s="360"/>
      <c r="S2" s="360"/>
      <c r="T2" s="360"/>
      <c r="U2" s="360"/>
      <c r="V2" s="360"/>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row>
    <row r="3" spans="1:158" ht="23.1" customHeight="1">
      <c r="A3" s="359"/>
      <c r="B3" s="1584" t="s">
        <v>284</v>
      </c>
      <c r="C3" s="1584"/>
      <c r="D3" s="1584"/>
      <c r="E3" s="1584"/>
      <c r="F3" s="1584"/>
      <c r="G3" s="1584"/>
      <c r="H3" s="1584"/>
      <c r="I3" s="1584"/>
      <c r="J3" s="1584"/>
      <c r="K3" s="1584"/>
      <c r="L3" s="1584"/>
      <c r="M3" s="1584"/>
      <c r="N3" s="1584"/>
      <c r="O3" s="361"/>
      <c r="P3" s="361"/>
      <c r="Q3" s="361"/>
      <c r="R3" s="361"/>
      <c r="S3" s="361"/>
      <c r="T3" s="361"/>
      <c r="U3" s="361"/>
      <c r="V3" s="361"/>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row>
    <row r="4" spans="1:158" ht="23.1" customHeight="1" thickBot="1">
      <c r="A4" s="359"/>
      <c r="B4" s="359"/>
      <c r="C4" s="1013"/>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59"/>
      <c r="DJ4" s="359"/>
      <c r="DK4" s="359"/>
      <c r="DL4" s="359"/>
      <c r="DM4" s="359"/>
      <c r="DN4" s="359"/>
      <c r="DO4" s="359"/>
      <c r="DP4" s="359"/>
      <c r="DQ4" s="359"/>
      <c r="DR4" s="359"/>
      <c r="DS4" s="359"/>
      <c r="DT4" s="359"/>
      <c r="DU4" s="359"/>
      <c r="DV4" s="359"/>
      <c r="DW4" s="359"/>
      <c r="DX4" s="359"/>
      <c r="DY4" s="359"/>
      <c r="DZ4" s="359"/>
      <c r="EA4" s="359"/>
      <c r="EB4" s="359"/>
      <c r="EC4" s="359"/>
      <c r="ED4" s="359"/>
      <c r="EE4" s="359"/>
      <c r="EF4" s="359"/>
      <c r="EG4" s="359"/>
      <c r="EH4" s="359"/>
      <c r="EI4" s="359"/>
      <c r="EJ4" s="359"/>
      <c r="EK4" s="359"/>
      <c r="EL4" s="359"/>
      <c r="EM4" s="359"/>
      <c r="EN4" s="359"/>
      <c r="EO4" s="359"/>
      <c r="EP4" s="359"/>
      <c r="EQ4" s="359"/>
      <c r="ER4" s="359"/>
      <c r="ES4" s="359"/>
      <c r="ET4" s="359"/>
      <c r="EU4" s="359"/>
      <c r="EV4" s="359"/>
      <c r="EW4" s="359"/>
      <c r="EX4" s="359"/>
      <c r="EY4" s="359"/>
      <c r="EZ4" s="359"/>
      <c r="FA4" s="359"/>
      <c r="FB4" s="359"/>
    </row>
    <row r="5" spans="1:158" ht="26.25" customHeight="1" thickTop="1">
      <c r="B5" s="1717" t="s">
        <v>7</v>
      </c>
      <c r="C5" s="1718"/>
      <c r="D5" s="1714" t="s">
        <v>13</v>
      </c>
      <c r="E5" s="1714" t="s">
        <v>8</v>
      </c>
      <c r="F5" s="1711" t="s">
        <v>43</v>
      </c>
      <c r="G5" s="1754" t="s">
        <v>869</v>
      </c>
      <c r="H5" s="837"/>
      <c r="I5" s="1762" t="s">
        <v>248</v>
      </c>
      <c r="J5" s="1763"/>
      <c r="K5" s="1764"/>
      <c r="L5" s="838"/>
      <c r="M5" s="1762">
        <v>2021</v>
      </c>
      <c r="N5" s="1764"/>
      <c r="O5" s="838"/>
      <c r="P5" s="1726" t="s">
        <v>255</v>
      </c>
      <c r="Q5" s="1727"/>
      <c r="R5" s="1728"/>
      <c r="S5" s="838"/>
      <c r="T5" s="1729" t="s">
        <v>256</v>
      </c>
      <c r="U5" s="1730"/>
      <c r="V5" s="1731"/>
      <c r="W5" s="837"/>
      <c r="X5" s="1729" t="s">
        <v>268</v>
      </c>
      <c r="Y5" s="1730"/>
      <c r="Z5" s="1731"/>
      <c r="AA5" s="837"/>
      <c r="AB5" s="1757" t="s">
        <v>275</v>
      </c>
      <c r="AC5" s="1758"/>
      <c r="AD5" s="1759"/>
      <c r="AE5" s="837"/>
      <c r="AF5" s="1726" t="s">
        <v>286</v>
      </c>
      <c r="AG5" s="1727"/>
      <c r="AH5" s="1727"/>
      <c r="AI5" s="1727"/>
      <c r="AJ5" s="1727"/>
      <c r="AK5" s="1727"/>
      <c r="AL5" s="1728"/>
      <c r="AM5" s="837"/>
      <c r="AN5" s="1726" t="s">
        <v>287</v>
      </c>
      <c r="AO5" s="1727"/>
      <c r="AP5" s="1727"/>
      <c r="AQ5" s="1727"/>
      <c r="AR5" s="1727"/>
      <c r="AS5" s="1727"/>
      <c r="AT5" s="1728"/>
      <c r="AU5" s="837"/>
      <c r="AV5" s="1726" t="s">
        <v>288</v>
      </c>
      <c r="AW5" s="1727"/>
      <c r="AX5" s="1727"/>
      <c r="AY5" s="1727"/>
      <c r="AZ5" s="1727"/>
      <c r="BA5" s="1727"/>
      <c r="BB5" s="1728"/>
      <c r="BC5" s="837"/>
      <c r="BD5" s="1765" t="s">
        <v>289</v>
      </c>
      <c r="BE5" s="1766"/>
      <c r="BF5" s="1766"/>
      <c r="BG5" s="1766"/>
      <c r="BH5" s="1766"/>
      <c r="BI5" s="1766"/>
      <c r="BJ5" s="1767"/>
      <c r="BK5" s="837"/>
      <c r="BL5" s="1772" t="s">
        <v>290</v>
      </c>
      <c r="BM5" s="1773"/>
      <c r="BN5" s="1773"/>
      <c r="BO5" s="1773"/>
      <c r="BP5" s="1773"/>
      <c r="BQ5" s="1773"/>
      <c r="BR5" s="1774"/>
      <c r="BS5" s="837"/>
      <c r="BT5" s="1726" t="s">
        <v>291</v>
      </c>
      <c r="BU5" s="1727"/>
      <c r="BV5" s="1727"/>
      <c r="BW5" s="1727"/>
      <c r="BX5" s="1727"/>
      <c r="BY5" s="1727"/>
      <c r="BZ5" s="1728"/>
      <c r="CA5" s="837"/>
      <c r="CB5" s="1726" t="s">
        <v>292</v>
      </c>
      <c r="CC5" s="1727"/>
      <c r="CD5" s="1727"/>
      <c r="CE5" s="1727"/>
      <c r="CF5" s="1727"/>
      <c r="CG5" s="1727"/>
      <c r="CH5" s="1728"/>
      <c r="CI5" s="837"/>
      <c r="CJ5" s="1726" t="s">
        <v>293</v>
      </c>
      <c r="CK5" s="1727"/>
      <c r="CL5" s="1727"/>
      <c r="CM5" s="1727"/>
      <c r="CN5" s="1727"/>
      <c r="CO5" s="1727"/>
      <c r="CP5" s="1728"/>
      <c r="CQ5" s="837"/>
      <c r="CR5" s="1765" t="s">
        <v>294</v>
      </c>
      <c r="CS5" s="1766"/>
      <c r="CT5" s="1766"/>
      <c r="CU5" s="1766"/>
      <c r="CV5" s="1766"/>
      <c r="CW5" s="1766"/>
      <c r="CX5" s="1767"/>
      <c r="CY5" s="837"/>
      <c r="CZ5" s="1775" t="s">
        <v>295</v>
      </c>
      <c r="DA5" s="1776"/>
      <c r="DB5" s="1776"/>
      <c r="DC5" s="1776"/>
      <c r="DD5" s="1776"/>
      <c r="DE5" s="1776"/>
      <c r="DF5" s="1777"/>
      <c r="DG5" s="837"/>
      <c r="DH5" s="1726" t="s">
        <v>296</v>
      </c>
      <c r="DI5" s="1727"/>
      <c r="DJ5" s="1727"/>
      <c r="DK5" s="1727"/>
      <c r="DL5" s="1727"/>
      <c r="DM5" s="1727"/>
      <c r="DN5" s="1728"/>
      <c r="DO5" s="837"/>
      <c r="DP5" s="1726" t="s">
        <v>297</v>
      </c>
      <c r="DQ5" s="1727"/>
      <c r="DR5" s="1727"/>
      <c r="DS5" s="1727"/>
      <c r="DT5" s="1727"/>
      <c r="DU5" s="1727"/>
      <c r="DV5" s="1728"/>
      <c r="DW5" s="837"/>
      <c r="DX5" s="1726" t="s">
        <v>298</v>
      </c>
      <c r="DY5" s="1727"/>
      <c r="DZ5" s="1727"/>
      <c r="EA5" s="1727"/>
      <c r="EB5" s="1727"/>
      <c r="EC5" s="1727"/>
      <c r="ED5" s="1728"/>
      <c r="EE5" s="837"/>
      <c r="EF5" s="1765" t="s">
        <v>299</v>
      </c>
      <c r="EG5" s="1766"/>
      <c r="EH5" s="1766"/>
      <c r="EI5" s="1766"/>
      <c r="EJ5" s="1766"/>
      <c r="EK5" s="1766"/>
      <c r="EL5" s="1767"/>
      <c r="EM5" s="837"/>
      <c r="EN5" s="1772" t="s">
        <v>300</v>
      </c>
      <c r="EO5" s="1773"/>
      <c r="EP5" s="1773"/>
      <c r="EQ5" s="1773"/>
      <c r="ER5" s="1773"/>
      <c r="ES5" s="1773"/>
      <c r="ET5" s="1774"/>
      <c r="EU5" s="837"/>
      <c r="EV5" s="1778" t="s">
        <v>301</v>
      </c>
      <c r="EW5" s="1779"/>
      <c r="EX5" s="1779"/>
      <c r="EY5" s="1779"/>
      <c r="EZ5" s="1779"/>
      <c r="FA5" s="1779"/>
      <c r="FB5" s="1780"/>
    </row>
    <row r="6" spans="1:158" ht="26.25" customHeight="1">
      <c r="B6" s="1719"/>
      <c r="C6" s="1720"/>
      <c r="D6" s="1715"/>
      <c r="E6" s="1715"/>
      <c r="F6" s="1712"/>
      <c r="G6" s="1755"/>
      <c r="H6" s="414"/>
      <c r="I6" s="1760" t="s">
        <v>249</v>
      </c>
      <c r="J6" s="1705" t="s">
        <v>250</v>
      </c>
      <c r="K6" s="1706"/>
      <c r="L6" s="414"/>
      <c r="M6" s="1707" t="s">
        <v>253</v>
      </c>
      <c r="N6" s="1709" t="s">
        <v>870</v>
      </c>
      <c r="O6" s="414"/>
      <c r="P6" s="1725" t="s">
        <v>116</v>
      </c>
      <c r="Q6" s="1723" t="s">
        <v>254</v>
      </c>
      <c r="R6" s="1709" t="s">
        <v>376</v>
      </c>
      <c r="S6" s="414"/>
      <c r="T6" s="1725" t="s">
        <v>116</v>
      </c>
      <c r="U6" s="1723" t="s">
        <v>254</v>
      </c>
      <c r="V6" s="1709" t="s">
        <v>376</v>
      </c>
      <c r="W6" s="414"/>
      <c r="X6" s="1725" t="s">
        <v>116</v>
      </c>
      <c r="Y6" s="1723" t="s">
        <v>254</v>
      </c>
      <c r="Z6" s="1709" t="s">
        <v>376</v>
      </c>
      <c r="AA6" s="414"/>
      <c r="AB6" s="1725" t="s">
        <v>116</v>
      </c>
      <c r="AC6" s="1723" t="s">
        <v>254</v>
      </c>
      <c r="AD6" s="1709" t="s">
        <v>376</v>
      </c>
      <c r="AE6" s="414"/>
      <c r="AF6" s="1725" t="s">
        <v>116</v>
      </c>
      <c r="AG6" s="1723" t="s">
        <v>277</v>
      </c>
      <c r="AH6" s="1723" t="s">
        <v>254</v>
      </c>
      <c r="AI6" s="1752" t="s">
        <v>376</v>
      </c>
      <c r="AJ6" s="1752" t="s">
        <v>283</v>
      </c>
      <c r="AK6" s="1752" t="s">
        <v>282</v>
      </c>
      <c r="AL6" s="1709" t="s">
        <v>278</v>
      </c>
      <c r="AM6" s="414"/>
      <c r="AN6" s="1725" t="s">
        <v>116</v>
      </c>
      <c r="AO6" s="1723" t="s">
        <v>277</v>
      </c>
      <c r="AP6" s="1723" t="s">
        <v>254</v>
      </c>
      <c r="AQ6" s="1752" t="s">
        <v>376</v>
      </c>
      <c r="AR6" s="1752" t="s">
        <v>283</v>
      </c>
      <c r="AS6" s="1752" t="s">
        <v>282</v>
      </c>
      <c r="AT6" s="1709" t="s">
        <v>278</v>
      </c>
      <c r="AU6" s="414"/>
      <c r="AV6" s="1725" t="s">
        <v>116</v>
      </c>
      <c r="AW6" s="1723" t="s">
        <v>277</v>
      </c>
      <c r="AX6" s="1723" t="s">
        <v>254</v>
      </c>
      <c r="AY6" s="1752" t="s">
        <v>376</v>
      </c>
      <c r="AZ6" s="1752" t="s">
        <v>283</v>
      </c>
      <c r="BA6" s="1752" t="s">
        <v>282</v>
      </c>
      <c r="BB6" s="1709" t="s">
        <v>278</v>
      </c>
      <c r="BC6" s="414"/>
      <c r="BD6" s="1725" t="s">
        <v>116</v>
      </c>
      <c r="BE6" s="1723" t="s">
        <v>277</v>
      </c>
      <c r="BF6" s="1723" t="s">
        <v>254</v>
      </c>
      <c r="BG6" s="1752" t="s">
        <v>376</v>
      </c>
      <c r="BH6" s="1768" t="s">
        <v>283</v>
      </c>
      <c r="BI6" s="1768" t="s">
        <v>282</v>
      </c>
      <c r="BJ6" s="1770" t="s">
        <v>278</v>
      </c>
      <c r="BK6" s="414"/>
      <c r="BL6" s="1725" t="s">
        <v>116</v>
      </c>
      <c r="BM6" s="1723" t="s">
        <v>277</v>
      </c>
      <c r="BN6" s="1723" t="s">
        <v>254</v>
      </c>
      <c r="BO6" s="1752" t="s">
        <v>376</v>
      </c>
      <c r="BP6" s="1768" t="s">
        <v>283</v>
      </c>
      <c r="BQ6" s="1768" t="s">
        <v>282</v>
      </c>
      <c r="BR6" s="1770" t="s">
        <v>278</v>
      </c>
      <c r="BS6" s="414"/>
      <c r="BT6" s="1725" t="s">
        <v>116</v>
      </c>
      <c r="BU6" s="1723" t="s">
        <v>277</v>
      </c>
      <c r="BV6" s="1723" t="s">
        <v>254</v>
      </c>
      <c r="BW6" s="1752" t="s">
        <v>376</v>
      </c>
      <c r="BX6" s="1752" t="s">
        <v>283</v>
      </c>
      <c r="BY6" s="1752" t="s">
        <v>282</v>
      </c>
      <c r="BZ6" s="1709" t="s">
        <v>278</v>
      </c>
      <c r="CA6" s="414"/>
      <c r="CB6" s="1725" t="s">
        <v>116</v>
      </c>
      <c r="CC6" s="1723" t="s">
        <v>277</v>
      </c>
      <c r="CD6" s="1723" t="s">
        <v>254</v>
      </c>
      <c r="CE6" s="1752" t="s">
        <v>376</v>
      </c>
      <c r="CF6" s="1752" t="s">
        <v>283</v>
      </c>
      <c r="CG6" s="1752" t="s">
        <v>282</v>
      </c>
      <c r="CH6" s="1709" t="s">
        <v>278</v>
      </c>
      <c r="CI6" s="414"/>
      <c r="CJ6" s="1725" t="s">
        <v>116</v>
      </c>
      <c r="CK6" s="1723" t="s">
        <v>277</v>
      </c>
      <c r="CL6" s="1723" t="s">
        <v>254</v>
      </c>
      <c r="CM6" s="1752" t="s">
        <v>376</v>
      </c>
      <c r="CN6" s="1752" t="s">
        <v>283</v>
      </c>
      <c r="CO6" s="1752" t="s">
        <v>282</v>
      </c>
      <c r="CP6" s="1709" t="s">
        <v>278</v>
      </c>
      <c r="CQ6" s="414"/>
      <c r="CR6" s="1725" t="s">
        <v>116</v>
      </c>
      <c r="CS6" s="1723" t="s">
        <v>277</v>
      </c>
      <c r="CT6" s="1723" t="s">
        <v>254</v>
      </c>
      <c r="CU6" s="1752" t="s">
        <v>376</v>
      </c>
      <c r="CV6" s="1768" t="s">
        <v>283</v>
      </c>
      <c r="CW6" s="1768" t="s">
        <v>282</v>
      </c>
      <c r="CX6" s="1770" t="s">
        <v>278</v>
      </c>
      <c r="CY6" s="414"/>
      <c r="CZ6" s="1725" t="s">
        <v>116</v>
      </c>
      <c r="DA6" s="1723" t="s">
        <v>277</v>
      </c>
      <c r="DB6" s="1723" t="s">
        <v>254</v>
      </c>
      <c r="DC6" s="1752" t="s">
        <v>376</v>
      </c>
      <c r="DD6" s="1768" t="s">
        <v>283</v>
      </c>
      <c r="DE6" s="1768" t="s">
        <v>282</v>
      </c>
      <c r="DF6" s="1770" t="s">
        <v>278</v>
      </c>
      <c r="DG6" s="414"/>
      <c r="DH6" s="1725" t="s">
        <v>116</v>
      </c>
      <c r="DI6" s="1723" t="s">
        <v>277</v>
      </c>
      <c r="DJ6" s="1723" t="s">
        <v>254</v>
      </c>
      <c r="DK6" s="1752" t="s">
        <v>376</v>
      </c>
      <c r="DL6" s="1752" t="s">
        <v>283</v>
      </c>
      <c r="DM6" s="1752" t="s">
        <v>282</v>
      </c>
      <c r="DN6" s="1709" t="s">
        <v>278</v>
      </c>
      <c r="DO6" s="414"/>
      <c r="DP6" s="1725" t="s">
        <v>116</v>
      </c>
      <c r="DQ6" s="1723" t="s">
        <v>277</v>
      </c>
      <c r="DR6" s="1723" t="s">
        <v>254</v>
      </c>
      <c r="DS6" s="1752" t="s">
        <v>376</v>
      </c>
      <c r="DT6" s="1752" t="s">
        <v>283</v>
      </c>
      <c r="DU6" s="1752" t="s">
        <v>282</v>
      </c>
      <c r="DV6" s="1709" t="s">
        <v>278</v>
      </c>
      <c r="DW6" s="414"/>
      <c r="DX6" s="1725" t="s">
        <v>116</v>
      </c>
      <c r="DY6" s="1723" t="s">
        <v>277</v>
      </c>
      <c r="DZ6" s="1723" t="s">
        <v>254</v>
      </c>
      <c r="EA6" s="1752" t="s">
        <v>376</v>
      </c>
      <c r="EB6" s="1752" t="s">
        <v>283</v>
      </c>
      <c r="EC6" s="1752" t="s">
        <v>282</v>
      </c>
      <c r="ED6" s="1709" t="s">
        <v>278</v>
      </c>
      <c r="EE6" s="414"/>
      <c r="EF6" s="1725" t="s">
        <v>116</v>
      </c>
      <c r="EG6" s="1723" t="s">
        <v>277</v>
      </c>
      <c r="EH6" s="1723" t="s">
        <v>254</v>
      </c>
      <c r="EI6" s="1752" t="s">
        <v>376</v>
      </c>
      <c r="EJ6" s="1768" t="s">
        <v>283</v>
      </c>
      <c r="EK6" s="1768" t="s">
        <v>282</v>
      </c>
      <c r="EL6" s="1770" t="s">
        <v>278</v>
      </c>
      <c r="EM6" s="414"/>
      <c r="EN6" s="1725" t="s">
        <v>116</v>
      </c>
      <c r="EO6" s="1723" t="s">
        <v>277</v>
      </c>
      <c r="EP6" s="1723" t="s">
        <v>254</v>
      </c>
      <c r="EQ6" s="1752" t="s">
        <v>376</v>
      </c>
      <c r="ER6" s="1768" t="s">
        <v>283</v>
      </c>
      <c r="ES6" s="1768" t="s">
        <v>282</v>
      </c>
      <c r="ET6" s="1770" t="s">
        <v>278</v>
      </c>
      <c r="EU6" s="414"/>
      <c r="EV6" s="1725" t="s">
        <v>116</v>
      </c>
      <c r="EW6" s="1723" t="s">
        <v>277</v>
      </c>
      <c r="EX6" s="1723" t="s">
        <v>254</v>
      </c>
      <c r="EY6" s="1752" t="s">
        <v>376</v>
      </c>
      <c r="EZ6" s="1768" t="s">
        <v>283</v>
      </c>
      <c r="FA6" s="1768" t="s">
        <v>282</v>
      </c>
      <c r="FB6" s="1770" t="s">
        <v>278</v>
      </c>
    </row>
    <row r="7" spans="1:158" ht="39" customHeight="1" thickBot="1">
      <c r="B7" s="1721"/>
      <c r="C7" s="1722"/>
      <c r="D7" s="1716"/>
      <c r="E7" s="1716"/>
      <c r="F7" s="1713"/>
      <c r="G7" s="1756"/>
      <c r="H7" s="414"/>
      <c r="I7" s="1761"/>
      <c r="J7" s="441" t="s">
        <v>251</v>
      </c>
      <c r="K7" s="1157" t="s">
        <v>252</v>
      </c>
      <c r="L7" s="414"/>
      <c r="M7" s="1708"/>
      <c r="N7" s="1710"/>
      <c r="O7" s="414"/>
      <c r="P7" s="1707"/>
      <c r="Q7" s="1724"/>
      <c r="R7" s="1710"/>
      <c r="S7" s="414"/>
      <c r="T7" s="1707"/>
      <c r="U7" s="1724"/>
      <c r="V7" s="1710"/>
      <c r="W7" s="414"/>
      <c r="X7" s="1707"/>
      <c r="Y7" s="1724"/>
      <c r="Z7" s="1710"/>
      <c r="AA7" s="414"/>
      <c r="AB7" s="1707"/>
      <c r="AC7" s="1724"/>
      <c r="AD7" s="1710"/>
      <c r="AE7" s="414"/>
      <c r="AF7" s="1707"/>
      <c r="AG7" s="1724"/>
      <c r="AH7" s="1724"/>
      <c r="AI7" s="1753"/>
      <c r="AJ7" s="1753"/>
      <c r="AK7" s="1753"/>
      <c r="AL7" s="1710"/>
      <c r="AM7" s="414"/>
      <c r="AN7" s="1707"/>
      <c r="AO7" s="1724"/>
      <c r="AP7" s="1724"/>
      <c r="AQ7" s="1753"/>
      <c r="AR7" s="1753"/>
      <c r="AS7" s="1753"/>
      <c r="AT7" s="1710"/>
      <c r="AU7" s="414"/>
      <c r="AV7" s="1707"/>
      <c r="AW7" s="1724"/>
      <c r="AX7" s="1724"/>
      <c r="AY7" s="1753"/>
      <c r="AZ7" s="1753"/>
      <c r="BA7" s="1753"/>
      <c r="BB7" s="1710"/>
      <c r="BC7" s="414"/>
      <c r="BD7" s="1707"/>
      <c r="BE7" s="1724"/>
      <c r="BF7" s="1724"/>
      <c r="BG7" s="1753"/>
      <c r="BH7" s="1769"/>
      <c r="BI7" s="1769"/>
      <c r="BJ7" s="1771"/>
      <c r="BK7" s="414"/>
      <c r="BL7" s="1707"/>
      <c r="BM7" s="1724"/>
      <c r="BN7" s="1724"/>
      <c r="BO7" s="1753"/>
      <c r="BP7" s="1769"/>
      <c r="BQ7" s="1769"/>
      <c r="BR7" s="1771"/>
      <c r="BS7" s="414"/>
      <c r="BT7" s="1707"/>
      <c r="BU7" s="1724"/>
      <c r="BV7" s="1724"/>
      <c r="BW7" s="1753"/>
      <c r="BX7" s="1753"/>
      <c r="BY7" s="1753"/>
      <c r="BZ7" s="1710"/>
      <c r="CA7" s="414"/>
      <c r="CB7" s="1707"/>
      <c r="CC7" s="1724"/>
      <c r="CD7" s="1724"/>
      <c r="CE7" s="1753"/>
      <c r="CF7" s="1753"/>
      <c r="CG7" s="1753"/>
      <c r="CH7" s="1710"/>
      <c r="CI7" s="414"/>
      <c r="CJ7" s="1707"/>
      <c r="CK7" s="1724"/>
      <c r="CL7" s="1724"/>
      <c r="CM7" s="1753"/>
      <c r="CN7" s="1753"/>
      <c r="CO7" s="1753"/>
      <c r="CP7" s="1710"/>
      <c r="CQ7" s="414"/>
      <c r="CR7" s="1707"/>
      <c r="CS7" s="1724"/>
      <c r="CT7" s="1724"/>
      <c r="CU7" s="1753"/>
      <c r="CV7" s="1769"/>
      <c r="CW7" s="1769"/>
      <c r="CX7" s="1771"/>
      <c r="CY7" s="414"/>
      <c r="CZ7" s="1707"/>
      <c r="DA7" s="1724"/>
      <c r="DB7" s="1724"/>
      <c r="DC7" s="1753"/>
      <c r="DD7" s="1769"/>
      <c r="DE7" s="1769"/>
      <c r="DF7" s="1771"/>
      <c r="DG7" s="414"/>
      <c r="DH7" s="1707"/>
      <c r="DI7" s="1724"/>
      <c r="DJ7" s="1724"/>
      <c r="DK7" s="1753"/>
      <c r="DL7" s="1753"/>
      <c r="DM7" s="1753"/>
      <c r="DN7" s="1710"/>
      <c r="DO7" s="414"/>
      <c r="DP7" s="1707"/>
      <c r="DQ7" s="1724"/>
      <c r="DR7" s="1724"/>
      <c r="DS7" s="1753"/>
      <c r="DT7" s="1753"/>
      <c r="DU7" s="1753"/>
      <c r="DV7" s="1710"/>
      <c r="DW7" s="414"/>
      <c r="DX7" s="1707"/>
      <c r="DY7" s="1724"/>
      <c r="DZ7" s="1724"/>
      <c r="EA7" s="1753"/>
      <c r="EB7" s="1753"/>
      <c r="EC7" s="1753"/>
      <c r="ED7" s="1710"/>
      <c r="EE7" s="414"/>
      <c r="EF7" s="1707"/>
      <c r="EG7" s="1724"/>
      <c r="EH7" s="1724"/>
      <c r="EI7" s="1753"/>
      <c r="EJ7" s="1769"/>
      <c r="EK7" s="1769"/>
      <c r="EL7" s="1771"/>
      <c r="EM7" s="414"/>
      <c r="EN7" s="1707"/>
      <c r="EO7" s="1724"/>
      <c r="EP7" s="1724"/>
      <c r="EQ7" s="1753"/>
      <c r="ER7" s="1769"/>
      <c r="ES7" s="1769"/>
      <c r="ET7" s="1771"/>
      <c r="EU7" s="414"/>
      <c r="EV7" s="1707"/>
      <c r="EW7" s="1724"/>
      <c r="EX7" s="1724"/>
      <c r="EY7" s="1753"/>
      <c r="EZ7" s="1769"/>
      <c r="FA7" s="1769"/>
      <c r="FB7" s="1771"/>
    </row>
    <row r="8" spans="1:158" ht="15.75" thickBot="1">
      <c r="B8" s="426">
        <v>1</v>
      </c>
      <c r="C8" s="175">
        <v>2</v>
      </c>
      <c r="D8" s="175">
        <v>3</v>
      </c>
      <c r="E8" s="175">
        <v>4</v>
      </c>
      <c r="F8" s="169">
        <v>5</v>
      </c>
      <c r="G8" s="176">
        <v>6</v>
      </c>
      <c r="H8" s="1197"/>
      <c r="I8" s="167">
        <v>7</v>
      </c>
      <c r="J8" s="169">
        <v>8</v>
      </c>
      <c r="K8" s="176">
        <v>9</v>
      </c>
      <c r="L8" s="226" t="s">
        <v>4</v>
      </c>
      <c r="M8" s="167">
        <v>10</v>
      </c>
      <c r="N8" s="176">
        <v>11</v>
      </c>
      <c r="O8" s="226"/>
      <c r="P8" s="167">
        <v>12</v>
      </c>
      <c r="Q8" s="169">
        <v>13</v>
      </c>
      <c r="R8" s="176">
        <v>14</v>
      </c>
      <c r="S8" s="1227"/>
      <c r="T8" s="167">
        <v>12</v>
      </c>
      <c r="U8" s="169">
        <v>13</v>
      </c>
      <c r="V8" s="176">
        <v>14</v>
      </c>
      <c r="W8" s="1227"/>
      <c r="X8" s="167">
        <v>12</v>
      </c>
      <c r="Y8" s="169">
        <v>13</v>
      </c>
      <c r="Z8" s="176">
        <v>14</v>
      </c>
      <c r="AA8" s="1227"/>
      <c r="AB8" s="483">
        <v>12</v>
      </c>
      <c r="AC8" s="484">
        <v>13</v>
      </c>
      <c r="AD8" s="485">
        <v>14</v>
      </c>
      <c r="AE8" s="1228"/>
      <c r="AF8" s="483">
        <v>12</v>
      </c>
      <c r="AG8" s="486"/>
      <c r="AH8" s="484">
        <v>13</v>
      </c>
      <c r="AI8" s="176">
        <v>14</v>
      </c>
      <c r="AJ8" s="487"/>
      <c r="AK8" s="484">
        <v>14</v>
      </c>
      <c r="AL8" s="488"/>
      <c r="AM8" s="1228"/>
      <c r="AN8" s="483">
        <v>12</v>
      </c>
      <c r="AO8" s="486"/>
      <c r="AP8" s="484">
        <v>13</v>
      </c>
      <c r="AQ8" s="176">
        <v>14</v>
      </c>
      <c r="AR8" s="484"/>
      <c r="AS8" s="484">
        <v>14</v>
      </c>
      <c r="AT8" s="488"/>
      <c r="AU8" s="1228"/>
      <c r="AV8" s="483">
        <v>12</v>
      </c>
      <c r="AW8" s="486"/>
      <c r="AX8" s="484">
        <v>13</v>
      </c>
      <c r="AY8" s="176">
        <v>14</v>
      </c>
      <c r="AZ8" s="487"/>
      <c r="BA8" s="484">
        <v>14</v>
      </c>
      <c r="BB8" s="488"/>
      <c r="BC8" s="1228"/>
      <c r="BD8" s="483">
        <v>12</v>
      </c>
      <c r="BE8" s="486"/>
      <c r="BF8" s="484">
        <v>13</v>
      </c>
      <c r="BG8" s="487">
        <v>14</v>
      </c>
      <c r="BH8" s="487"/>
      <c r="BI8" s="484">
        <v>14</v>
      </c>
      <c r="BJ8" s="488"/>
      <c r="BK8" s="1228"/>
      <c r="BL8" s="483">
        <v>12</v>
      </c>
      <c r="BM8" s="486"/>
      <c r="BN8" s="484">
        <v>13</v>
      </c>
      <c r="BO8" s="487">
        <v>14</v>
      </c>
      <c r="BP8" s="487"/>
      <c r="BQ8" s="484">
        <v>14</v>
      </c>
      <c r="BR8" s="488"/>
      <c r="BS8" s="1228"/>
      <c r="BT8" s="483">
        <v>12</v>
      </c>
      <c r="BU8" s="486"/>
      <c r="BV8" s="484">
        <v>13</v>
      </c>
      <c r="BW8" s="176">
        <v>14</v>
      </c>
      <c r="BX8" s="487"/>
      <c r="BY8" s="484">
        <v>14</v>
      </c>
      <c r="BZ8" s="488"/>
      <c r="CA8" s="1228"/>
      <c r="CB8" s="483">
        <v>12</v>
      </c>
      <c r="CC8" s="486"/>
      <c r="CD8" s="484">
        <v>13</v>
      </c>
      <c r="CE8" s="176">
        <v>14</v>
      </c>
      <c r="CF8" s="487"/>
      <c r="CG8" s="484">
        <v>14</v>
      </c>
      <c r="CH8" s="488"/>
      <c r="CI8" s="1228"/>
      <c r="CJ8" s="483">
        <v>12</v>
      </c>
      <c r="CK8" s="486"/>
      <c r="CL8" s="484">
        <v>13</v>
      </c>
      <c r="CM8" s="176">
        <v>14</v>
      </c>
      <c r="CN8" s="487"/>
      <c r="CO8" s="484">
        <v>14</v>
      </c>
      <c r="CP8" s="488"/>
      <c r="CQ8" s="1228"/>
      <c r="CR8" s="483">
        <v>12</v>
      </c>
      <c r="CS8" s="486"/>
      <c r="CT8" s="484">
        <v>13</v>
      </c>
      <c r="CU8" s="487">
        <v>14</v>
      </c>
      <c r="CV8" s="487"/>
      <c r="CW8" s="484">
        <v>14</v>
      </c>
      <c r="CX8" s="488"/>
      <c r="CY8" s="1228"/>
      <c r="CZ8" s="483">
        <v>12</v>
      </c>
      <c r="DA8" s="486"/>
      <c r="DB8" s="484">
        <v>13</v>
      </c>
      <c r="DC8" s="487">
        <v>14</v>
      </c>
      <c r="DD8" s="487"/>
      <c r="DE8" s="484">
        <v>14</v>
      </c>
      <c r="DF8" s="488"/>
      <c r="DG8" s="1228"/>
      <c r="DH8" s="483">
        <v>12</v>
      </c>
      <c r="DI8" s="486"/>
      <c r="DJ8" s="484">
        <v>13</v>
      </c>
      <c r="DK8" s="176">
        <v>14</v>
      </c>
      <c r="DL8" s="487"/>
      <c r="DM8" s="484">
        <v>14</v>
      </c>
      <c r="DN8" s="488"/>
      <c r="DO8" s="1228"/>
      <c r="DP8" s="483">
        <v>12</v>
      </c>
      <c r="DQ8" s="486"/>
      <c r="DR8" s="484">
        <v>13</v>
      </c>
      <c r="DS8" s="176">
        <v>14</v>
      </c>
      <c r="DT8" s="487"/>
      <c r="DU8" s="484">
        <v>14</v>
      </c>
      <c r="DV8" s="488"/>
      <c r="DW8" s="1228"/>
      <c r="DX8" s="483">
        <v>12</v>
      </c>
      <c r="DY8" s="486"/>
      <c r="DZ8" s="484">
        <v>13</v>
      </c>
      <c r="EA8" s="176">
        <v>14</v>
      </c>
      <c r="EB8" s="487"/>
      <c r="EC8" s="484">
        <v>14</v>
      </c>
      <c r="ED8" s="488"/>
      <c r="EE8" s="1228"/>
      <c r="EF8" s="483">
        <v>12</v>
      </c>
      <c r="EG8" s="486"/>
      <c r="EH8" s="484">
        <v>13</v>
      </c>
      <c r="EI8" s="487">
        <v>14</v>
      </c>
      <c r="EJ8" s="487"/>
      <c r="EK8" s="484">
        <v>14</v>
      </c>
      <c r="EL8" s="488"/>
      <c r="EM8" s="1228"/>
      <c r="EN8" s="483">
        <v>12</v>
      </c>
      <c r="EO8" s="486"/>
      <c r="EP8" s="484">
        <v>13</v>
      </c>
      <c r="EQ8" s="487">
        <v>14</v>
      </c>
      <c r="ER8" s="487"/>
      <c r="ES8" s="484">
        <v>14</v>
      </c>
      <c r="ET8" s="488"/>
      <c r="EU8" s="1228"/>
      <c r="EV8" s="483">
        <v>12</v>
      </c>
      <c r="EW8" s="486"/>
      <c r="EX8" s="484">
        <v>13</v>
      </c>
      <c r="EY8" s="487">
        <v>14</v>
      </c>
      <c r="EZ8" s="363"/>
      <c r="FA8" s="362">
        <v>14</v>
      </c>
      <c r="FB8" s="364"/>
    </row>
    <row r="9" spans="1:158" ht="20.100000000000001" customHeight="1">
      <c r="B9" s="1732" t="s">
        <v>19</v>
      </c>
      <c r="C9" s="1736" t="s">
        <v>717</v>
      </c>
      <c r="D9" s="427" t="s">
        <v>201</v>
      </c>
      <c r="E9" s="177" t="s">
        <v>202</v>
      </c>
      <c r="F9" s="266">
        <v>27</v>
      </c>
      <c r="G9" s="267">
        <v>5</v>
      </c>
      <c r="H9" s="1229"/>
      <c r="I9" s="442">
        <v>10</v>
      </c>
      <c r="J9" s="443">
        <v>17.1936</v>
      </c>
      <c r="K9" s="444">
        <v>3.1840000000000002</v>
      </c>
      <c r="L9" s="1229"/>
      <c r="M9" s="463">
        <v>9</v>
      </c>
      <c r="N9" s="464">
        <v>1.8064</v>
      </c>
      <c r="O9" s="1230"/>
      <c r="P9" s="852">
        <v>100</v>
      </c>
      <c r="Q9" s="858">
        <v>1.8063999999999998</v>
      </c>
      <c r="R9" s="412">
        <v>0.33451851851851849</v>
      </c>
      <c r="S9" s="938"/>
      <c r="T9" s="463">
        <v>100</v>
      </c>
      <c r="U9" s="243">
        <v>1.8063999999999998</v>
      </c>
      <c r="V9" s="412">
        <v>0.33451851851851849</v>
      </c>
      <c r="W9" s="938"/>
      <c r="X9" s="463">
        <v>100</v>
      </c>
      <c r="Y9" s="271">
        <v>1.8063999999999998</v>
      </c>
      <c r="Z9" s="412">
        <v>0.33451851851851849</v>
      </c>
      <c r="AA9" s="938"/>
      <c r="AB9" s="463">
        <v>100</v>
      </c>
      <c r="AC9" s="271">
        <v>1.8063999999999998</v>
      </c>
      <c r="AD9" s="245">
        <v>0.33451851851851844</v>
      </c>
      <c r="AE9" s="938"/>
      <c r="AF9" s="853">
        <v>0</v>
      </c>
      <c r="AG9" s="271">
        <v>1</v>
      </c>
      <c r="AH9" s="1172"/>
      <c r="AI9" s="245">
        <v>0</v>
      </c>
      <c r="AJ9" s="973">
        <v>1.8063999999999998</v>
      </c>
      <c r="AK9" s="271">
        <v>0.33451851851851844</v>
      </c>
      <c r="AL9" s="411" t="s">
        <v>346</v>
      </c>
      <c r="AM9" s="938"/>
      <c r="AN9" s="853">
        <v>0</v>
      </c>
      <c r="AO9" s="271">
        <v>1</v>
      </c>
      <c r="AP9" s="1172"/>
      <c r="AQ9" s="245">
        <v>0</v>
      </c>
      <c r="AR9" s="271">
        <v>1.8063999999999998</v>
      </c>
      <c r="AS9" s="271">
        <v>0.33451851851851844</v>
      </c>
      <c r="AT9" s="411" t="s">
        <v>346</v>
      </c>
      <c r="AU9" s="938"/>
      <c r="AV9" s="853">
        <v>100</v>
      </c>
      <c r="AW9" s="1231">
        <v>26.1936</v>
      </c>
      <c r="AX9" s="1172">
        <v>26.1936</v>
      </c>
      <c r="AY9" s="245">
        <v>4.8506666666666662</v>
      </c>
      <c r="AZ9" s="271">
        <v>28</v>
      </c>
      <c r="BA9" s="271">
        <v>5.1851851851851851</v>
      </c>
      <c r="BB9" s="411" t="s">
        <v>346</v>
      </c>
      <c r="BC9" s="938"/>
      <c r="BD9" s="853">
        <v>92.906191476079684</v>
      </c>
      <c r="BE9" s="271">
        <v>28.1936</v>
      </c>
      <c r="BF9" s="271">
        <v>26.1936</v>
      </c>
      <c r="BG9" s="245">
        <v>4.8506666666666662</v>
      </c>
      <c r="BH9" s="271">
        <v>28</v>
      </c>
      <c r="BI9" s="271">
        <v>5.1851851851851851</v>
      </c>
      <c r="BJ9" s="411" t="s">
        <v>346</v>
      </c>
      <c r="BK9" s="938"/>
      <c r="BL9" s="853">
        <v>0</v>
      </c>
      <c r="BM9" s="271"/>
      <c r="BN9" s="271">
        <v>28</v>
      </c>
      <c r="BO9" s="245">
        <v>5.1851851851851851</v>
      </c>
      <c r="BP9" s="271">
        <v>28</v>
      </c>
      <c r="BQ9" s="271">
        <v>5.1851851851851851</v>
      </c>
      <c r="BR9" s="411" t="s">
        <v>346</v>
      </c>
      <c r="BS9" s="938"/>
      <c r="BT9" s="853">
        <v>0</v>
      </c>
      <c r="BU9" s="1231"/>
      <c r="BV9" s="1172"/>
      <c r="BW9" s="245">
        <v>0</v>
      </c>
      <c r="BX9" s="271">
        <v>28</v>
      </c>
      <c r="BY9" s="271">
        <v>5.1851851851851851</v>
      </c>
      <c r="BZ9" s="411" t="s">
        <v>346</v>
      </c>
      <c r="CA9" s="938"/>
      <c r="CB9" s="853">
        <v>0</v>
      </c>
      <c r="CC9" s="1172"/>
      <c r="CD9" s="1172"/>
      <c r="CE9" s="245">
        <v>0</v>
      </c>
      <c r="CF9" s="271">
        <v>28</v>
      </c>
      <c r="CG9" s="271">
        <v>5.1851851851851851</v>
      </c>
      <c r="CH9" s="411" t="s">
        <v>346</v>
      </c>
      <c r="CI9" s="938"/>
      <c r="CJ9" s="853">
        <v>100</v>
      </c>
      <c r="CK9" s="1172">
        <v>1</v>
      </c>
      <c r="CL9" s="1172">
        <v>1</v>
      </c>
      <c r="CM9" s="245">
        <v>0.18518518518518517</v>
      </c>
      <c r="CN9" s="271">
        <v>29</v>
      </c>
      <c r="CO9" s="271">
        <v>5.3703703703703702</v>
      </c>
      <c r="CP9" s="411" t="s">
        <v>346</v>
      </c>
      <c r="CQ9" s="938"/>
      <c r="CR9" s="853">
        <v>100</v>
      </c>
      <c r="CS9" s="271">
        <v>1</v>
      </c>
      <c r="CT9" s="271">
        <v>1</v>
      </c>
      <c r="CU9" s="245">
        <v>0.18518518518518517</v>
      </c>
      <c r="CV9" s="271">
        <v>29</v>
      </c>
      <c r="CW9" s="271">
        <v>5.3703703703703702</v>
      </c>
      <c r="CX9" s="411" t="s">
        <v>346</v>
      </c>
      <c r="CY9" s="938"/>
      <c r="CZ9" s="853">
        <v>2900</v>
      </c>
      <c r="DA9" s="271">
        <v>1</v>
      </c>
      <c r="DB9" s="271">
        <v>29</v>
      </c>
      <c r="DC9" s="245">
        <v>5.3703703703703702</v>
      </c>
      <c r="DD9" s="271">
        <v>29</v>
      </c>
      <c r="DE9" s="271">
        <v>5.3703703703703702</v>
      </c>
      <c r="DF9" s="411" t="s">
        <v>346</v>
      </c>
      <c r="DG9" s="938"/>
      <c r="DH9" s="853">
        <v>0</v>
      </c>
      <c r="DI9" s="1172">
        <v>0</v>
      </c>
      <c r="DJ9" s="1172">
        <v>0</v>
      </c>
      <c r="DK9" s="245">
        <v>0</v>
      </c>
      <c r="DL9" s="271">
        <v>29</v>
      </c>
      <c r="DM9" s="271">
        <v>5.3703703703703702</v>
      </c>
      <c r="DN9" s="411" t="s">
        <v>346</v>
      </c>
      <c r="DO9" s="938"/>
      <c r="DP9" s="853">
        <v>0</v>
      </c>
      <c r="DQ9" s="1172"/>
      <c r="DR9" s="1172"/>
      <c r="DS9" s="245">
        <v>0</v>
      </c>
      <c r="DT9" s="271">
        <v>29</v>
      </c>
      <c r="DU9" s="271">
        <v>5.3703703703703702</v>
      </c>
      <c r="DV9" s="411" t="s">
        <v>346</v>
      </c>
      <c r="DW9" s="938"/>
      <c r="DX9" s="853">
        <v>0</v>
      </c>
      <c r="DY9" s="1172"/>
      <c r="DZ9" s="1172"/>
      <c r="EA9" s="245">
        <v>0</v>
      </c>
      <c r="EB9" s="271">
        <v>29</v>
      </c>
      <c r="EC9" s="1232">
        <v>5.3703703703703702</v>
      </c>
      <c r="ED9" s="1168" t="s">
        <v>346</v>
      </c>
      <c r="EE9" s="1230"/>
      <c r="EF9" s="853">
        <v>0</v>
      </c>
      <c r="EG9" s="271">
        <v>0</v>
      </c>
      <c r="EH9" s="271">
        <v>0</v>
      </c>
      <c r="EI9" s="245">
        <v>0</v>
      </c>
      <c r="EJ9" s="271">
        <v>29</v>
      </c>
      <c r="EK9" s="1232">
        <v>5.3703703703703702</v>
      </c>
      <c r="EL9" s="1168" t="s">
        <v>346</v>
      </c>
      <c r="EM9" s="1230"/>
      <c r="EN9" s="853">
        <v>100</v>
      </c>
      <c r="EO9" s="271">
        <v>1</v>
      </c>
      <c r="EP9" s="271">
        <v>1</v>
      </c>
      <c r="EQ9" s="245">
        <v>0.18518518518518517</v>
      </c>
      <c r="ER9" s="271">
        <v>29</v>
      </c>
      <c r="ES9" s="1232">
        <v>5.3703703703703702</v>
      </c>
      <c r="ET9" s="1168" t="s">
        <v>346</v>
      </c>
      <c r="EU9" s="1230"/>
      <c r="EV9" s="853">
        <v>2900</v>
      </c>
      <c r="EW9" s="271">
        <v>1</v>
      </c>
      <c r="EX9" s="670">
        <v>29</v>
      </c>
      <c r="EY9" s="245">
        <v>5.3703703703703702</v>
      </c>
      <c r="EZ9" s="365">
        <v>29</v>
      </c>
      <c r="FA9" s="366">
        <v>5.3703703703703702</v>
      </c>
      <c r="FB9" s="372" t="s">
        <v>346</v>
      </c>
    </row>
    <row r="10" spans="1:158" ht="20.100000000000001" customHeight="1">
      <c r="B10" s="1733"/>
      <c r="C10" s="1737"/>
      <c r="D10" s="178" t="s">
        <v>203</v>
      </c>
      <c r="E10" s="174" t="s">
        <v>202</v>
      </c>
      <c r="F10" s="268">
        <v>27</v>
      </c>
      <c r="G10" s="251">
        <v>10</v>
      </c>
      <c r="H10" s="1229"/>
      <c r="I10" s="304">
        <v>10</v>
      </c>
      <c r="J10" s="292">
        <v>6.3045</v>
      </c>
      <c r="K10" s="413">
        <v>2.335</v>
      </c>
      <c r="L10" s="1229"/>
      <c r="M10" s="465">
        <v>9</v>
      </c>
      <c r="N10" s="412">
        <v>12.695499999999999</v>
      </c>
      <c r="O10" s="1230"/>
      <c r="P10" s="465">
        <v>20</v>
      </c>
      <c r="Q10" s="859">
        <v>2.5390999999999995</v>
      </c>
      <c r="R10" s="412">
        <v>0.94040740740740714</v>
      </c>
      <c r="S10" s="938"/>
      <c r="T10" s="465">
        <v>25</v>
      </c>
      <c r="U10" s="245">
        <v>3.1738749999999998</v>
      </c>
      <c r="V10" s="412">
        <v>1.1755092592592593</v>
      </c>
      <c r="W10" s="938"/>
      <c r="X10" s="465">
        <v>30</v>
      </c>
      <c r="Y10" s="245">
        <v>3.8086499999999996</v>
      </c>
      <c r="Z10" s="412">
        <v>1.410611111111111</v>
      </c>
      <c r="AA10" s="938"/>
      <c r="AB10" s="465">
        <v>25</v>
      </c>
      <c r="AC10" s="245">
        <v>3.1738749999999998</v>
      </c>
      <c r="AD10" s="245">
        <v>1.1755092592592591</v>
      </c>
      <c r="AE10" s="938"/>
      <c r="AF10" s="853">
        <v>0</v>
      </c>
      <c r="AG10" s="245">
        <v>1</v>
      </c>
      <c r="AH10" s="1172"/>
      <c r="AI10" s="245">
        <v>0</v>
      </c>
      <c r="AJ10" s="245">
        <v>3.1738749999999998</v>
      </c>
      <c r="AK10" s="245">
        <v>1.1755092592592591</v>
      </c>
      <c r="AL10" s="412" t="s">
        <v>346</v>
      </c>
      <c r="AM10" s="938"/>
      <c r="AN10" s="853">
        <v>0</v>
      </c>
      <c r="AO10" s="245">
        <v>1</v>
      </c>
      <c r="AP10" s="1161"/>
      <c r="AQ10" s="245">
        <v>0</v>
      </c>
      <c r="AR10" s="245">
        <v>3.1738749999999998</v>
      </c>
      <c r="AS10" s="245">
        <v>1.1755092592592591</v>
      </c>
      <c r="AT10" s="412" t="s">
        <v>346</v>
      </c>
      <c r="AU10" s="938"/>
      <c r="AV10" s="853">
        <v>100</v>
      </c>
      <c r="AW10" s="1231">
        <v>4.8261250000000002</v>
      </c>
      <c r="AX10" s="1172">
        <v>4.8261250000000002</v>
      </c>
      <c r="AY10" s="245">
        <v>1.7874537037037037</v>
      </c>
      <c r="AZ10" s="245">
        <v>8</v>
      </c>
      <c r="BA10" s="245">
        <v>2.9629629629629628</v>
      </c>
      <c r="BB10" s="412" t="s">
        <v>346</v>
      </c>
      <c r="BC10" s="938"/>
      <c r="BD10" s="853">
        <v>70.700800234393597</v>
      </c>
      <c r="BE10" s="245">
        <v>6.8261250000000002</v>
      </c>
      <c r="BF10" s="245">
        <v>4.8261250000000002</v>
      </c>
      <c r="BG10" s="245">
        <v>1.7874537037037037</v>
      </c>
      <c r="BH10" s="245">
        <v>8</v>
      </c>
      <c r="BI10" s="245">
        <v>2.9629629629629628</v>
      </c>
      <c r="BJ10" s="412" t="s">
        <v>346</v>
      </c>
      <c r="BK10" s="938"/>
      <c r="BL10" s="853">
        <v>0</v>
      </c>
      <c r="BM10" s="245"/>
      <c r="BN10" s="245">
        <v>8</v>
      </c>
      <c r="BO10" s="245">
        <v>2.9629629629629628</v>
      </c>
      <c r="BP10" s="245">
        <v>8</v>
      </c>
      <c r="BQ10" s="245">
        <v>2.9629629629629628</v>
      </c>
      <c r="BR10" s="412" t="s">
        <v>346</v>
      </c>
      <c r="BS10" s="938"/>
      <c r="BT10" s="853">
        <v>0</v>
      </c>
      <c r="BU10" s="1231"/>
      <c r="BV10" s="1161"/>
      <c r="BW10" s="245">
        <v>0</v>
      </c>
      <c r="BX10" s="245">
        <v>8</v>
      </c>
      <c r="BY10" s="245">
        <v>2.9629629629629628</v>
      </c>
      <c r="BZ10" s="412" t="s">
        <v>346</v>
      </c>
      <c r="CA10" s="938"/>
      <c r="CB10" s="853">
        <v>0</v>
      </c>
      <c r="CC10" s="1161"/>
      <c r="CD10" s="1161"/>
      <c r="CE10" s="245">
        <v>0</v>
      </c>
      <c r="CF10" s="245">
        <v>8</v>
      </c>
      <c r="CG10" s="245">
        <v>2.9629629629629628</v>
      </c>
      <c r="CH10" s="412" t="s">
        <v>346</v>
      </c>
      <c r="CI10" s="938"/>
      <c r="CJ10" s="853">
        <v>0</v>
      </c>
      <c r="CK10" s="1161">
        <v>0</v>
      </c>
      <c r="CL10" s="1161">
        <v>0</v>
      </c>
      <c r="CM10" s="245">
        <v>0</v>
      </c>
      <c r="CN10" s="245">
        <v>8</v>
      </c>
      <c r="CO10" s="245">
        <v>2.9629629629629628</v>
      </c>
      <c r="CP10" s="412" t="s">
        <v>346</v>
      </c>
      <c r="CQ10" s="938"/>
      <c r="CR10" s="853">
        <v>0</v>
      </c>
      <c r="CS10" s="245">
        <v>0</v>
      </c>
      <c r="CT10" s="245">
        <v>0</v>
      </c>
      <c r="CU10" s="245">
        <v>0</v>
      </c>
      <c r="CV10" s="245">
        <v>8</v>
      </c>
      <c r="CW10" s="245">
        <v>2.9629629629629628</v>
      </c>
      <c r="CX10" s="412" t="s">
        <v>346</v>
      </c>
      <c r="CY10" s="938"/>
      <c r="CZ10" s="853">
        <v>0</v>
      </c>
      <c r="DA10" s="245">
        <v>0</v>
      </c>
      <c r="DB10" s="245">
        <v>8</v>
      </c>
      <c r="DC10" s="245">
        <v>2.9629629629629628</v>
      </c>
      <c r="DD10" s="245">
        <v>8</v>
      </c>
      <c r="DE10" s="245">
        <v>2.9629629629629628</v>
      </c>
      <c r="DF10" s="412" t="s">
        <v>346</v>
      </c>
      <c r="DG10" s="938"/>
      <c r="DH10" s="853">
        <v>0</v>
      </c>
      <c r="DI10" s="1161">
        <v>0</v>
      </c>
      <c r="DJ10" s="1161">
        <v>0</v>
      </c>
      <c r="DK10" s="245">
        <v>0</v>
      </c>
      <c r="DL10" s="245">
        <v>8</v>
      </c>
      <c r="DM10" s="245">
        <v>2.9629629629629628</v>
      </c>
      <c r="DN10" s="412" t="s">
        <v>346</v>
      </c>
      <c r="DO10" s="938"/>
      <c r="DP10" s="853">
        <v>0</v>
      </c>
      <c r="DQ10" s="1161"/>
      <c r="DR10" s="1161"/>
      <c r="DS10" s="245">
        <v>0</v>
      </c>
      <c r="DT10" s="245">
        <v>8</v>
      </c>
      <c r="DU10" s="245">
        <v>2.9629629629629628</v>
      </c>
      <c r="DV10" s="412" t="s">
        <v>346</v>
      </c>
      <c r="DW10" s="938"/>
      <c r="DX10" s="853">
        <v>0</v>
      </c>
      <c r="DY10" s="1161"/>
      <c r="DZ10" s="1161"/>
      <c r="EA10" s="245">
        <v>0</v>
      </c>
      <c r="EB10" s="245">
        <v>8</v>
      </c>
      <c r="EC10" s="1233">
        <v>2.9629629629629628</v>
      </c>
      <c r="ED10" s="1171" t="s">
        <v>346</v>
      </c>
      <c r="EE10" s="1230"/>
      <c r="EF10" s="853">
        <v>0</v>
      </c>
      <c r="EG10" s="245">
        <v>0</v>
      </c>
      <c r="EH10" s="245">
        <v>0</v>
      </c>
      <c r="EI10" s="245">
        <v>0</v>
      </c>
      <c r="EJ10" s="245">
        <v>8</v>
      </c>
      <c r="EK10" s="1233">
        <v>2.9629629629629628</v>
      </c>
      <c r="EL10" s="1171" t="s">
        <v>346</v>
      </c>
      <c r="EM10" s="1230"/>
      <c r="EN10" s="853">
        <v>0</v>
      </c>
      <c r="EO10" s="245">
        <v>0</v>
      </c>
      <c r="EP10" s="245">
        <v>0</v>
      </c>
      <c r="EQ10" s="245">
        <v>0</v>
      </c>
      <c r="ER10" s="245">
        <v>8</v>
      </c>
      <c r="ES10" s="1233">
        <v>2.9629629629629628</v>
      </c>
      <c r="ET10" s="1171" t="s">
        <v>346</v>
      </c>
      <c r="EU10" s="1230"/>
      <c r="EV10" s="853">
        <v>0</v>
      </c>
      <c r="EW10" s="245">
        <v>0</v>
      </c>
      <c r="EX10" s="671">
        <v>8</v>
      </c>
      <c r="EY10" s="245">
        <v>2.9629629629629628</v>
      </c>
      <c r="EZ10" s="367">
        <v>8</v>
      </c>
      <c r="FA10" s="368">
        <v>2.9629629629629628</v>
      </c>
      <c r="FB10" s="369" t="s">
        <v>346</v>
      </c>
    </row>
    <row r="11" spans="1:158" ht="20.100000000000001" customHeight="1">
      <c r="B11" s="1733"/>
      <c r="C11" s="1737"/>
      <c r="D11" s="178" t="s">
        <v>204</v>
      </c>
      <c r="E11" s="174" t="s">
        <v>205</v>
      </c>
      <c r="F11" s="250">
        <v>15000</v>
      </c>
      <c r="G11" s="251">
        <v>10</v>
      </c>
      <c r="H11" s="1229"/>
      <c r="I11" s="306">
        <v>4050</v>
      </c>
      <c r="J11" s="1147">
        <v>3754.5000000000005</v>
      </c>
      <c r="K11" s="413">
        <v>2.5030000000000001</v>
      </c>
      <c r="L11" s="1229"/>
      <c r="M11" s="272">
        <v>5333</v>
      </c>
      <c r="N11" s="274">
        <v>5628.5</v>
      </c>
      <c r="O11" s="1234"/>
      <c r="P11" s="465">
        <v>5</v>
      </c>
      <c r="Q11" s="859">
        <v>281.42500000000001</v>
      </c>
      <c r="R11" s="412">
        <v>0.18761666666666665</v>
      </c>
      <c r="S11" s="938"/>
      <c r="T11" s="465">
        <v>10</v>
      </c>
      <c r="U11" s="245">
        <v>562.85</v>
      </c>
      <c r="V11" s="412">
        <v>0.37523333333333331</v>
      </c>
      <c r="W11" s="938"/>
      <c r="X11" s="465">
        <v>10</v>
      </c>
      <c r="Y11" s="245">
        <v>562.85</v>
      </c>
      <c r="Z11" s="412">
        <v>0.37523333333333331</v>
      </c>
      <c r="AA11" s="938"/>
      <c r="AB11" s="465">
        <v>8.3333333333333339</v>
      </c>
      <c r="AC11" s="245">
        <v>469.04166666666674</v>
      </c>
      <c r="AD11" s="245">
        <v>0.3126944444444445</v>
      </c>
      <c r="AE11" s="938"/>
      <c r="AF11" s="853">
        <v>0</v>
      </c>
      <c r="AG11" s="245">
        <v>1</v>
      </c>
      <c r="AH11" s="1172"/>
      <c r="AI11" s="245">
        <v>0</v>
      </c>
      <c r="AJ11" s="245">
        <v>469.04166666666674</v>
      </c>
      <c r="AK11" s="245">
        <v>0.3126944444444445</v>
      </c>
      <c r="AL11" s="412" t="s">
        <v>346</v>
      </c>
      <c r="AM11" s="938"/>
      <c r="AN11" s="853">
        <v>0</v>
      </c>
      <c r="AO11" s="245">
        <v>1</v>
      </c>
      <c r="AP11" s="1161"/>
      <c r="AQ11" s="245">
        <v>0</v>
      </c>
      <c r="AR11" s="245">
        <v>469.04166666666674</v>
      </c>
      <c r="AS11" s="245">
        <v>0.3126944444444445</v>
      </c>
      <c r="AT11" s="412" t="s">
        <v>346</v>
      </c>
      <c r="AU11" s="938"/>
      <c r="AV11" s="853">
        <v>100</v>
      </c>
      <c r="AW11" s="1231">
        <v>5245.2440476190477</v>
      </c>
      <c r="AX11" s="1231">
        <v>5245.2440476190477</v>
      </c>
      <c r="AY11" s="245">
        <v>3.4968293650793649</v>
      </c>
      <c r="AZ11" s="245">
        <v>5714.2857142857147</v>
      </c>
      <c r="BA11" s="245">
        <v>3.8095238095238098</v>
      </c>
      <c r="BB11" s="412" t="s">
        <v>346</v>
      </c>
      <c r="BC11" s="938"/>
      <c r="BD11" s="853">
        <v>99.961884753561108</v>
      </c>
      <c r="BE11" s="245">
        <v>5247.2440476190477</v>
      </c>
      <c r="BF11" s="245">
        <v>5245.2440476190477</v>
      </c>
      <c r="BG11" s="245">
        <v>3.4968293650793649</v>
      </c>
      <c r="BH11" s="245">
        <v>5714.2857142857147</v>
      </c>
      <c r="BI11" s="245">
        <v>3.8095238095238098</v>
      </c>
      <c r="BJ11" s="412" t="s">
        <v>346</v>
      </c>
      <c r="BK11" s="938"/>
      <c r="BL11" s="853">
        <v>0</v>
      </c>
      <c r="BM11" s="245"/>
      <c r="BN11" s="245">
        <v>5714.2857142857147</v>
      </c>
      <c r="BO11" s="245">
        <v>3.8095238095238098</v>
      </c>
      <c r="BP11" s="245">
        <v>5714.2857142857147</v>
      </c>
      <c r="BQ11" s="245">
        <v>3.8095238095238098</v>
      </c>
      <c r="BR11" s="412" t="s">
        <v>346</v>
      </c>
      <c r="BS11" s="938"/>
      <c r="BT11" s="853">
        <v>0</v>
      </c>
      <c r="BU11" s="1231"/>
      <c r="BV11" s="1161"/>
      <c r="BW11" s="245">
        <v>0</v>
      </c>
      <c r="BX11" s="245">
        <v>5714.2857142857147</v>
      </c>
      <c r="BY11" s="245">
        <v>3.8095238095238098</v>
      </c>
      <c r="BZ11" s="412" t="s">
        <v>346</v>
      </c>
      <c r="CA11" s="938"/>
      <c r="CB11" s="853">
        <v>0</v>
      </c>
      <c r="CC11" s="1161"/>
      <c r="CD11" s="1161"/>
      <c r="CE11" s="245">
        <v>0</v>
      </c>
      <c r="CF11" s="245">
        <v>5714.2857142857147</v>
      </c>
      <c r="CG11" s="245">
        <v>3.8095238095238098</v>
      </c>
      <c r="CH11" s="412" t="s">
        <v>346</v>
      </c>
      <c r="CI11" s="938"/>
      <c r="CJ11" s="853">
        <v>0</v>
      </c>
      <c r="CK11" s="1161">
        <v>0</v>
      </c>
      <c r="CL11" s="1161">
        <v>0</v>
      </c>
      <c r="CM11" s="245">
        <v>0</v>
      </c>
      <c r="CN11" s="245">
        <v>5714.2857142857147</v>
      </c>
      <c r="CO11" s="245">
        <v>3.8095238095238098</v>
      </c>
      <c r="CP11" s="412" t="s">
        <v>346</v>
      </c>
      <c r="CQ11" s="938"/>
      <c r="CR11" s="853">
        <v>0</v>
      </c>
      <c r="CS11" s="245">
        <v>0</v>
      </c>
      <c r="CT11" s="245">
        <v>0</v>
      </c>
      <c r="CU11" s="245">
        <v>0</v>
      </c>
      <c r="CV11" s="245">
        <v>5714.2857142857147</v>
      </c>
      <c r="CW11" s="245">
        <v>3.8095238095238098</v>
      </c>
      <c r="CX11" s="412" t="s">
        <v>346</v>
      </c>
      <c r="CY11" s="938"/>
      <c r="CZ11" s="853">
        <v>0</v>
      </c>
      <c r="DA11" s="245">
        <v>0</v>
      </c>
      <c r="DB11" s="245">
        <v>5714.2857142857147</v>
      </c>
      <c r="DC11" s="245">
        <v>3.8095238095238098</v>
      </c>
      <c r="DD11" s="245">
        <v>5714.2857142857147</v>
      </c>
      <c r="DE11" s="245">
        <v>3.8095238095238098</v>
      </c>
      <c r="DF11" s="412" t="s">
        <v>346</v>
      </c>
      <c r="DG11" s="938"/>
      <c r="DH11" s="853">
        <v>0</v>
      </c>
      <c r="DI11" s="1161">
        <v>0</v>
      </c>
      <c r="DJ11" s="1161">
        <v>0</v>
      </c>
      <c r="DK11" s="245">
        <v>0</v>
      </c>
      <c r="DL11" s="245">
        <v>5714.2857142857147</v>
      </c>
      <c r="DM11" s="245">
        <v>3.8095238095238098</v>
      </c>
      <c r="DN11" s="412" t="s">
        <v>346</v>
      </c>
      <c r="DO11" s="938"/>
      <c r="DP11" s="853">
        <v>0</v>
      </c>
      <c r="DQ11" s="1161"/>
      <c r="DR11" s="1161"/>
      <c r="DS11" s="245">
        <v>0</v>
      </c>
      <c r="DT11" s="245">
        <v>5714.2857142857147</v>
      </c>
      <c r="DU11" s="245">
        <v>3.8095238095238098</v>
      </c>
      <c r="DV11" s="412" t="s">
        <v>346</v>
      </c>
      <c r="DW11" s="938"/>
      <c r="DX11" s="853">
        <v>0</v>
      </c>
      <c r="DY11" s="1161"/>
      <c r="DZ11" s="1161"/>
      <c r="EA11" s="245">
        <v>0</v>
      </c>
      <c r="EB11" s="245">
        <v>5714.2857142857147</v>
      </c>
      <c r="EC11" s="1233">
        <v>3.8095238095238098</v>
      </c>
      <c r="ED11" s="1171" t="s">
        <v>346</v>
      </c>
      <c r="EE11" s="1230"/>
      <c r="EF11" s="853">
        <v>0</v>
      </c>
      <c r="EG11" s="245">
        <v>0</v>
      </c>
      <c r="EH11" s="245">
        <v>0</v>
      </c>
      <c r="EI11" s="245">
        <v>0</v>
      </c>
      <c r="EJ11" s="245">
        <v>5714.2857142857147</v>
      </c>
      <c r="EK11" s="1233">
        <v>3.8095238095238098</v>
      </c>
      <c r="EL11" s="1171" t="s">
        <v>346</v>
      </c>
      <c r="EM11" s="1230"/>
      <c r="EN11" s="853">
        <v>0</v>
      </c>
      <c r="EO11" s="245">
        <v>0</v>
      </c>
      <c r="EP11" s="245">
        <v>0</v>
      </c>
      <c r="EQ11" s="245">
        <v>0</v>
      </c>
      <c r="ER11" s="245">
        <v>5714.2857142857147</v>
      </c>
      <c r="ES11" s="1233">
        <v>3.8095238095238098</v>
      </c>
      <c r="ET11" s="1171" t="s">
        <v>346</v>
      </c>
      <c r="EU11" s="1230"/>
      <c r="EV11" s="853">
        <v>0</v>
      </c>
      <c r="EW11" s="245">
        <v>0</v>
      </c>
      <c r="EX11" s="671">
        <v>5714.2857142857147</v>
      </c>
      <c r="EY11" s="245">
        <v>3.8095238095238098</v>
      </c>
      <c r="EZ11" s="367">
        <v>5714.2857142857147</v>
      </c>
      <c r="FA11" s="368">
        <v>3.8095238095238098</v>
      </c>
      <c r="FB11" s="369" t="s">
        <v>346</v>
      </c>
    </row>
    <row r="12" spans="1:158" ht="20.100000000000001" customHeight="1">
      <c r="B12" s="1733"/>
      <c r="C12" s="1737"/>
      <c r="D12" s="178" t="s">
        <v>206</v>
      </c>
      <c r="E12" s="174" t="s">
        <v>205</v>
      </c>
      <c r="F12" s="250">
        <v>15000</v>
      </c>
      <c r="G12" s="251">
        <v>20</v>
      </c>
      <c r="H12" s="1229"/>
      <c r="I12" s="306">
        <v>4050</v>
      </c>
      <c r="J12" s="1147">
        <v>1399.5000000000002</v>
      </c>
      <c r="K12" s="413">
        <v>1.8660000000000001</v>
      </c>
      <c r="L12" s="1229"/>
      <c r="M12" s="272">
        <v>5333</v>
      </c>
      <c r="N12" s="274">
        <v>7983.5</v>
      </c>
      <c r="O12" s="1234"/>
      <c r="P12" s="465">
        <v>25</v>
      </c>
      <c r="Q12" s="859">
        <v>1995.875</v>
      </c>
      <c r="R12" s="412">
        <v>2.6611666666666665</v>
      </c>
      <c r="S12" s="938"/>
      <c r="T12" s="465">
        <v>30</v>
      </c>
      <c r="U12" s="245">
        <v>2395.0500000000002</v>
      </c>
      <c r="V12" s="412">
        <v>3.1934</v>
      </c>
      <c r="W12" s="938"/>
      <c r="X12" s="465">
        <v>30</v>
      </c>
      <c r="Y12" s="245">
        <v>2395.0500000000002</v>
      </c>
      <c r="Z12" s="412">
        <v>3.1934</v>
      </c>
      <c r="AA12" s="938"/>
      <c r="AB12" s="465">
        <v>28.333333333333332</v>
      </c>
      <c r="AC12" s="245">
        <v>2261.9916666666668</v>
      </c>
      <c r="AD12" s="245">
        <v>3.0159888888888888</v>
      </c>
      <c r="AE12" s="938"/>
      <c r="AF12" s="853">
        <v>0</v>
      </c>
      <c r="AG12" s="245">
        <v>1</v>
      </c>
      <c r="AH12" s="1172"/>
      <c r="AI12" s="245">
        <v>0</v>
      </c>
      <c r="AJ12" s="245">
        <v>2261.9916666666668</v>
      </c>
      <c r="AK12" s="245">
        <v>3.0159888888888888</v>
      </c>
      <c r="AL12" s="412" t="s">
        <v>346</v>
      </c>
      <c r="AM12" s="938"/>
      <c r="AN12" s="853">
        <v>0</v>
      </c>
      <c r="AO12" s="245">
        <v>1</v>
      </c>
      <c r="AP12" s="1161"/>
      <c r="AQ12" s="245">
        <v>0</v>
      </c>
      <c r="AR12" s="245">
        <v>2261.9916666666668</v>
      </c>
      <c r="AS12" s="245">
        <v>3.0159888888888888</v>
      </c>
      <c r="AT12" s="412" t="s">
        <v>346</v>
      </c>
      <c r="AU12" s="938"/>
      <c r="AV12" s="853">
        <v>100</v>
      </c>
      <c r="AW12" s="1231">
        <v>595.15119047619055</v>
      </c>
      <c r="AX12" s="1231">
        <v>595.15119047619055</v>
      </c>
      <c r="AY12" s="245">
        <v>0.7935349206349207</v>
      </c>
      <c r="AZ12" s="245">
        <v>2857.1428571428573</v>
      </c>
      <c r="BA12" s="245">
        <v>3.8095238095238098</v>
      </c>
      <c r="BB12" s="412" t="s">
        <v>346</v>
      </c>
      <c r="BC12" s="938"/>
      <c r="BD12" s="853">
        <v>99.665076444307999</v>
      </c>
      <c r="BE12" s="245">
        <v>597.15119047619055</v>
      </c>
      <c r="BF12" s="245">
        <v>595.15119047619055</v>
      </c>
      <c r="BG12" s="245">
        <v>0.7935349206349207</v>
      </c>
      <c r="BH12" s="245">
        <v>2857.1428571428573</v>
      </c>
      <c r="BI12" s="245">
        <v>3.8095238095238098</v>
      </c>
      <c r="BJ12" s="412" t="s">
        <v>346</v>
      </c>
      <c r="BK12" s="938"/>
      <c r="BL12" s="853">
        <v>0</v>
      </c>
      <c r="BM12" s="245"/>
      <c r="BN12" s="245">
        <v>2857.1428571428573</v>
      </c>
      <c r="BO12" s="245">
        <v>3.8095238095238098</v>
      </c>
      <c r="BP12" s="245">
        <v>2857.1428571428573</v>
      </c>
      <c r="BQ12" s="245">
        <v>3.8095238095238098</v>
      </c>
      <c r="BR12" s="412" t="s">
        <v>346</v>
      </c>
      <c r="BS12" s="938"/>
      <c r="BT12" s="853">
        <v>0</v>
      </c>
      <c r="BU12" s="1231"/>
      <c r="BV12" s="1161"/>
      <c r="BW12" s="245">
        <v>0</v>
      </c>
      <c r="BX12" s="245">
        <v>2857.1428571428573</v>
      </c>
      <c r="BY12" s="245">
        <v>3.8095238095238098</v>
      </c>
      <c r="BZ12" s="412" t="s">
        <v>346</v>
      </c>
      <c r="CA12" s="938"/>
      <c r="CB12" s="853">
        <v>0</v>
      </c>
      <c r="CC12" s="1161"/>
      <c r="CD12" s="1161"/>
      <c r="CE12" s="245">
        <v>0</v>
      </c>
      <c r="CF12" s="245">
        <v>2857.1428571428573</v>
      </c>
      <c r="CG12" s="245">
        <v>3.8095238095238098</v>
      </c>
      <c r="CH12" s="412" t="s">
        <v>346</v>
      </c>
      <c r="CI12" s="938"/>
      <c r="CJ12" s="853">
        <v>0</v>
      </c>
      <c r="CK12" s="1161">
        <v>0</v>
      </c>
      <c r="CL12" s="1161">
        <v>0</v>
      </c>
      <c r="CM12" s="245">
        <v>0</v>
      </c>
      <c r="CN12" s="245">
        <v>2857.1428571428573</v>
      </c>
      <c r="CO12" s="245">
        <v>3.8095238095238098</v>
      </c>
      <c r="CP12" s="412" t="s">
        <v>346</v>
      </c>
      <c r="CQ12" s="938"/>
      <c r="CR12" s="853">
        <v>0</v>
      </c>
      <c r="CS12" s="245">
        <v>0</v>
      </c>
      <c r="CT12" s="245">
        <v>0</v>
      </c>
      <c r="CU12" s="245">
        <v>0</v>
      </c>
      <c r="CV12" s="245">
        <v>2857.1428571428573</v>
      </c>
      <c r="CW12" s="245">
        <v>3.8095238095238098</v>
      </c>
      <c r="CX12" s="412" t="s">
        <v>346</v>
      </c>
      <c r="CY12" s="938"/>
      <c r="CZ12" s="853">
        <v>0</v>
      </c>
      <c r="DA12" s="245">
        <v>0</v>
      </c>
      <c r="DB12" s="245">
        <v>2857.1428571428573</v>
      </c>
      <c r="DC12" s="245">
        <v>3.8095238095238098</v>
      </c>
      <c r="DD12" s="245">
        <v>2857.1428571428573</v>
      </c>
      <c r="DE12" s="245">
        <v>3.8095238095238098</v>
      </c>
      <c r="DF12" s="412" t="s">
        <v>346</v>
      </c>
      <c r="DG12" s="938"/>
      <c r="DH12" s="853">
        <v>0</v>
      </c>
      <c r="DI12" s="1161">
        <v>0</v>
      </c>
      <c r="DJ12" s="1161">
        <v>0</v>
      </c>
      <c r="DK12" s="245">
        <v>0</v>
      </c>
      <c r="DL12" s="245">
        <v>2857.1428571428573</v>
      </c>
      <c r="DM12" s="245">
        <v>3.8095238095238098</v>
      </c>
      <c r="DN12" s="412" t="s">
        <v>346</v>
      </c>
      <c r="DO12" s="938"/>
      <c r="DP12" s="853">
        <v>0</v>
      </c>
      <c r="DQ12" s="1161"/>
      <c r="DR12" s="1161"/>
      <c r="DS12" s="245">
        <v>0</v>
      </c>
      <c r="DT12" s="245">
        <v>2857.1428571428573</v>
      </c>
      <c r="DU12" s="245">
        <v>3.8095238095238098</v>
      </c>
      <c r="DV12" s="412" t="s">
        <v>346</v>
      </c>
      <c r="DW12" s="938"/>
      <c r="DX12" s="853">
        <v>0</v>
      </c>
      <c r="DY12" s="1161"/>
      <c r="DZ12" s="1161"/>
      <c r="EA12" s="245">
        <v>0</v>
      </c>
      <c r="EB12" s="245">
        <v>2857.1428571428573</v>
      </c>
      <c r="EC12" s="1233">
        <v>3.8095238095238098</v>
      </c>
      <c r="ED12" s="1171" t="s">
        <v>346</v>
      </c>
      <c r="EE12" s="1230"/>
      <c r="EF12" s="853">
        <v>0</v>
      </c>
      <c r="EG12" s="245">
        <v>0</v>
      </c>
      <c r="EH12" s="245">
        <v>0</v>
      </c>
      <c r="EI12" s="245">
        <v>0</v>
      </c>
      <c r="EJ12" s="245">
        <v>2857.1428571428573</v>
      </c>
      <c r="EK12" s="1233">
        <v>3.8095238095238098</v>
      </c>
      <c r="EL12" s="1171" t="s">
        <v>346</v>
      </c>
      <c r="EM12" s="1230"/>
      <c r="EN12" s="853">
        <v>0</v>
      </c>
      <c r="EO12" s="245">
        <v>0</v>
      </c>
      <c r="EP12" s="245">
        <v>0</v>
      </c>
      <c r="EQ12" s="245">
        <v>0</v>
      </c>
      <c r="ER12" s="245">
        <v>2857.1428571428573</v>
      </c>
      <c r="ES12" s="1233">
        <v>3.8095238095238098</v>
      </c>
      <c r="ET12" s="1171" t="s">
        <v>346</v>
      </c>
      <c r="EU12" s="1230"/>
      <c r="EV12" s="853">
        <v>0</v>
      </c>
      <c r="EW12" s="245">
        <v>0</v>
      </c>
      <c r="EX12" s="671">
        <v>2857.1428571428573</v>
      </c>
      <c r="EY12" s="245">
        <v>3.8095238095238098</v>
      </c>
      <c r="EZ12" s="367">
        <v>2857.1428571428573</v>
      </c>
      <c r="FA12" s="368">
        <v>3.8095238095238098</v>
      </c>
      <c r="FB12" s="369" t="s">
        <v>346</v>
      </c>
    </row>
    <row r="13" spans="1:158" ht="20.100000000000001" customHeight="1">
      <c r="B13" s="1733"/>
      <c r="C13" s="1737"/>
      <c r="D13" s="178" t="s">
        <v>207</v>
      </c>
      <c r="E13" s="174" t="s">
        <v>205</v>
      </c>
      <c r="F13" s="250">
        <v>15000</v>
      </c>
      <c r="G13" s="251">
        <v>50</v>
      </c>
      <c r="H13" s="1229"/>
      <c r="I13" s="306">
        <v>2000</v>
      </c>
      <c r="J13" s="292">
        <v>50.1</v>
      </c>
      <c r="K13" s="413">
        <v>0.16700000000000001</v>
      </c>
      <c r="L13" s="1229"/>
      <c r="M13" s="272">
        <v>5333</v>
      </c>
      <c r="N13" s="274">
        <v>7282.9</v>
      </c>
      <c r="O13" s="1234"/>
      <c r="P13" s="465">
        <v>5</v>
      </c>
      <c r="Q13" s="859">
        <v>364.14499999999998</v>
      </c>
      <c r="R13" s="412">
        <v>1.2138166666666668</v>
      </c>
      <c r="S13" s="938"/>
      <c r="T13" s="465">
        <v>7.5</v>
      </c>
      <c r="U13" s="245">
        <v>546.21749999999997</v>
      </c>
      <c r="V13" s="412">
        <v>1.8207249999999997</v>
      </c>
      <c r="W13" s="938"/>
      <c r="X13" s="465">
        <v>8</v>
      </c>
      <c r="Y13" s="245">
        <v>582.63199999999995</v>
      </c>
      <c r="Z13" s="412">
        <v>1.9421066666666664</v>
      </c>
      <c r="AA13" s="938"/>
      <c r="AB13" s="465">
        <v>6.833333333333333</v>
      </c>
      <c r="AC13" s="245">
        <v>497.66483333333332</v>
      </c>
      <c r="AD13" s="245">
        <v>1.6588827777777779</v>
      </c>
      <c r="AE13" s="938"/>
      <c r="AF13" s="853">
        <v>0</v>
      </c>
      <c r="AG13" s="245">
        <v>1</v>
      </c>
      <c r="AH13" s="1172"/>
      <c r="AI13" s="245">
        <v>0</v>
      </c>
      <c r="AJ13" s="245">
        <v>497.66483333333332</v>
      </c>
      <c r="AK13" s="245">
        <v>1.6588827777777779</v>
      </c>
      <c r="AL13" s="412" t="s">
        <v>346</v>
      </c>
      <c r="AM13" s="938"/>
      <c r="AN13" s="853">
        <v>0</v>
      </c>
      <c r="AO13" s="245">
        <v>1</v>
      </c>
      <c r="AP13" s="1161"/>
      <c r="AQ13" s="245">
        <v>0</v>
      </c>
      <c r="AR13" s="245">
        <v>497.66483333333332</v>
      </c>
      <c r="AS13" s="245">
        <v>1.6588827777777779</v>
      </c>
      <c r="AT13" s="412" t="s">
        <v>346</v>
      </c>
      <c r="AU13" s="938"/>
      <c r="AV13" s="853">
        <v>100</v>
      </c>
      <c r="AW13" s="1231">
        <v>73.763738095238125</v>
      </c>
      <c r="AX13" s="1231">
        <v>73.763738095238125</v>
      </c>
      <c r="AY13" s="245">
        <v>0.24587912698412709</v>
      </c>
      <c r="AZ13" s="245">
        <v>571.42857142857144</v>
      </c>
      <c r="BA13" s="245">
        <v>1.9047619047619049</v>
      </c>
      <c r="BB13" s="412" t="s">
        <v>346</v>
      </c>
      <c r="BC13" s="938"/>
      <c r="BD13" s="853">
        <v>97.360214727676293</v>
      </c>
      <c r="BE13" s="245">
        <v>75.763738095238125</v>
      </c>
      <c r="BF13" s="245">
        <v>73.763738095238125</v>
      </c>
      <c r="BG13" s="245">
        <v>0.24587912698412709</v>
      </c>
      <c r="BH13" s="245">
        <v>571.42857142857144</v>
      </c>
      <c r="BI13" s="245">
        <v>1.9047619047619049</v>
      </c>
      <c r="BJ13" s="412" t="s">
        <v>346</v>
      </c>
      <c r="BK13" s="938"/>
      <c r="BL13" s="853">
        <v>0</v>
      </c>
      <c r="BM13" s="245"/>
      <c r="BN13" s="245">
        <v>571.42857142857144</v>
      </c>
      <c r="BO13" s="245">
        <v>1.9047619047619049</v>
      </c>
      <c r="BP13" s="245">
        <v>571.42857142857144</v>
      </c>
      <c r="BQ13" s="245">
        <v>1.9047619047619049</v>
      </c>
      <c r="BR13" s="412" t="s">
        <v>346</v>
      </c>
      <c r="BS13" s="938"/>
      <c r="BT13" s="853">
        <v>0</v>
      </c>
      <c r="BU13" s="1231"/>
      <c r="BV13" s="1161"/>
      <c r="BW13" s="245">
        <v>0</v>
      </c>
      <c r="BX13" s="245">
        <v>571.42857142857144</v>
      </c>
      <c r="BY13" s="245">
        <v>1.9047619047619049</v>
      </c>
      <c r="BZ13" s="412" t="s">
        <v>346</v>
      </c>
      <c r="CA13" s="938"/>
      <c r="CB13" s="853">
        <v>0</v>
      </c>
      <c r="CC13" s="1161"/>
      <c r="CD13" s="1161"/>
      <c r="CE13" s="245">
        <v>0</v>
      </c>
      <c r="CF13" s="245">
        <v>571.42857142857144</v>
      </c>
      <c r="CG13" s="245">
        <v>1.9047619047619049</v>
      </c>
      <c r="CH13" s="412" t="s">
        <v>346</v>
      </c>
      <c r="CI13" s="938"/>
      <c r="CJ13" s="853">
        <v>0</v>
      </c>
      <c r="CK13" s="1161">
        <v>0</v>
      </c>
      <c r="CL13" s="1161">
        <v>0</v>
      </c>
      <c r="CM13" s="245">
        <v>0</v>
      </c>
      <c r="CN13" s="245">
        <v>571.42857142857144</v>
      </c>
      <c r="CO13" s="245">
        <v>1.9047619047619049</v>
      </c>
      <c r="CP13" s="412" t="s">
        <v>346</v>
      </c>
      <c r="CQ13" s="938"/>
      <c r="CR13" s="853">
        <v>0</v>
      </c>
      <c r="CS13" s="245">
        <v>0</v>
      </c>
      <c r="CT13" s="245">
        <v>0</v>
      </c>
      <c r="CU13" s="245">
        <v>0</v>
      </c>
      <c r="CV13" s="245">
        <v>571.42857142857144</v>
      </c>
      <c r="CW13" s="245">
        <v>1.9047619047619049</v>
      </c>
      <c r="CX13" s="412" t="s">
        <v>346</v>
      </c>
      <c r="CY13" s="938"/>
      <c r="CZ13" s="853">
        <v>0</v>
      </c>
      <c r="DA13" s="245">
        <v>0</v>
      </c>
      <c r="DB13" s="245">
        <v>571.42857142857144</v>
      </c>
      <c r="DC13" s="245">
        <v>1.9047619047619049</v>
      </c>
      <c r="DD13" s="245">
        <v>571.42857142857144</v>
      </c>
      <c r="DE13" s="245">
        <v>1.9047619047619049</v>
      </c>
      <c r="DF13" s="412" t="s">
        <v>346</v>
      </c>
      <c r="DG13" s="938"/>
      <c r="DH13" s="853">
        <v>0</v>
      </c>
      <c r="DI13" s="1161">
        <v>0</v>
      </c>
      <c r="DJ13" s="1161">
        <v>0</v>
      </c>
      <c r="DK13" s="245">
        <v>0</v>
      </c>
      <c r="DL13" s="245">
        <v>571.42857142857144</v>
      </c>
      <c r="DM13" s="245">
        <v>1.9047619047619049</v>
      </c>
      <c r="DN13" s="412" t="s">
        <v>346</v>
      </c>
      <c r="DO13" s="938"/>
      <c r="DP13" s="853">
        <v>0</v>
      </c>
      <c r="DQ13" s="1161"/>
      <c r="DR13" s="1161"/>
      <c r="DS13" s="245">
        <v>0</v>
      </c>
      <c r="DT13" s="245">
        <v>571.42857142857144</v>
      </c>
      <c r="DU13" s="245">
        <v>1.9047619047619049</v>
      </c>
      <c r="DV13" s="412" t="s">
        <v>346</v>
      </c>
      <c r="DW13" s="938"/>
      <c r="DX13" s="853">
        <v>0</v>
      </c>
      <c r="DY13" s="1161"/>
      <c r="DZ13" s="1161"/>
      <c r="EA13" s="245">
        <v>0</v>
      </c>
      <c r="EB13" s="245">
        <v>571.42857142857144</v>
      </c>
      <c r="EC13" s="1233">
        <v>1.9047619047619049</v>
      </c>
      <c r="ED13" s="1171" t="s">
        <v>346</v>
      </c>
      <c r="EE13" s="1230"/>
      <c r="EF13" s="853">
        <v>0</v>
      </c>
      <c r="EG13" s="245">
        <v>0</v>
      </c>
      <c r="EH13" s="245">
        <v>0</v>
      </c>
      <c r="EI13" s="245">
        <v>0</v>
      </c>
      <c r="EJ13" s="245">
        <v>571.42857142857144</v>
      </c>
      <c r="EK13" s="1233">
        <v>1.9047619047619049</v>
      </c>
      <c r="EL13" s="1171" t="s">
        <v>346</v>
      </c>
      <c r="EM13" s="1230"/>
      <c r="EN13" s="853">
        <v>0</v>
      </c>
      <c r="EO13" s="245">
        <v>0</v>
      </c>
      <c r="EP13" s="245">
        <v>0</v>
      </c>
      <c r="EQ13" s="245">
        <v>0</v>
      </c>
      <c r="ER13" s="245">
        <v>571.42857142857144</v>
      </c>
      <c r="ES13" s="1233">
        <v>1.9047619047619049</v>
      </c>
      <c r="ET13" s="1171" t="s">
        <v>346</v>
      </c>
      <c r="EU13" s="1230"/>
      <c r="EV13" s="853">
        <v>0</v>
      </c>
      <c r="EW13" s="245">
        <v>0</v>
      </c>
      <c r="EX13" s="671">
        <v>571.42857142857144</v>
      </c>
      <c r="EY13" s="245">
        <v>1.9047619047619049</v>
      </c>
      <c r="EZ13" s="367">
        <v>571.42857142857144</v>
      </c>
      <c r="FA13" s="368">
        <v>1.9047619047619049</v>
      </c>
      <c r="FB13" s="369" t="s">
        <v>346</v>
      </c>
    </row>
    <row r="14" spans="1:158" ht="20.100000000000001" customHeight="1">
      <c r="B14" s="1733"/>
      <c r="C14" s="1737"/>
      <c r="D14" s="178" t="s">
        <v>208</v>
      </c>
      <c r="E14" s="174" t="s">
        <v>202</v>
      </c>
      <c r="F14" s="250">
        <v>27</v>
      </c>
      <c r="G14" s="251">
        <v>5</v>
      </c>
      <c r="H14" s="1229"/>
      <c r="I14" s="304">
        <v>0</v>
      </c>
      <c r="J14" s="292">
        <v>0</v>
      </c>
      <c r="K14" s="413">
        <v>0</v>
      </c>
      <c r="L14" s="1229"/>
      <c r="M14" s="465">
        <v>0</v>
      </c>
      <c r="N14" s="412">
        <v>0</v>
      </c>
      <c r="O14" s="1230"/>
      <c r="P14" s="465">
        <v>0</v>
      </c>
      <c r="Q14" s="859">
        <v>0</v>
      </c>
      <c r="R14" s="412">
        <v>0</v>
      </c>
      <c r="S14" s="938"/>
      <c r="T14" s="465">
        <v>0</v>
      </c>
      <c r="U14" s="245">
        <v>0</v>
      </c>
      <c r="V14" s="412">
        <v>0</v>
      </c>
      <c r="W14" s="938"/>
      <c r="X14" s="465">
        <v>0</v>
      </c>
      <c r="Y14" s="245">
        <v>0</v>
      </c>
      <c r="Z14" s="412">
        <v>0</v>
      </c>
      <c r="AA14" s="938"/>
      <c r="AB14" s="465">
        <v>0</v>
      </c>
      <c r="AC14" s="245">
        <v>0</v>
      </c>
      <c r="AD14" s="245">
        <v>0</v>
      </c>
      <c r="AE14" s="938"/>
      <c r="AF14" s="853">
        <v>0</v>
      </c>
      <c r="AG14" s="245">
        <v>1</v>
      </c>
      <c r="AH14" s="1172"/>
      <c r="AI14" s="245">
        <v>0</v>
      </c>
      <c r="AJ14" s="245">
        <v>0</v>
      </c>
      <c r="AK14" s="245">
        <v>0</v>
      </c>
      <c r="AL14" s="412" t="s">
        <v>346</v>
      </c>
      <c r="AM14" s="938"/>
      <c r="AN14" s="853">
        <v>0</v>
      </c>
      <c r="AO14" s="245">
        <v>1</v>
      </c>
      <c r="AP14" s="1161"/>
      <c r="AQ14" s="245">
        <v>0</v>
      </c>
      <c r="AR14" s="245">
        <v>0</v>
      </c>
      <c r="AS14" s="245">
        <v>0</v>
      </c>
      <c r="AT14" s="412" t="s">
        <v>346</v>
      </c>
      <c r="AU14" s="938"/>
      <c r="AV14" s="853">
        <v>0</v>
      </c>
      <c r="AW14" s="1161"/>
      <c r="AX14" s="1172">
        <v>0</v>
      </c>
      <c r="AY14" s="245">
        <v>0</v>
      </c>
      <c r="AZ14" s="245">
        <v>0</v>
      </c>
      <c r="BA14" s="245">
        <v>0</v>
      </c>
      <c r="BB14" s="412" t="s">
        <v>346</v>
      </c>
      <c r="BC14" s="938"/>
      <c r="BD14" s="853">
        <v>0</v>
      </c>
      <c r="BE14" s="245">
        <v>2</v>
      </c>
      <c r="BF14" s="245">
        <v>0</v>
      </c>
      <c r="BG14" s="245">
        <v>0</v>
      </c>
      <c r="BH14" s="245">
        <v>0</v>
      </c>
      <c r="BI14" s="245">
        <v>0</v>
      </c>
      <c r="BJ14" s="412" t="s">
        <v>346</v>
      </c>
      <c r="BK14" s="938"/>
      <c r="BL14" s="853">
        <v>0</v>
      </c>
      <c r="BM14" s="245"/>
      <c r="BN14" s="245">
        <v>0</v>
      </c>
      <c r="BO14" s="245">
        <v>0</v>
      </c>
      <c r="BP14" s="245">
        <v>0</v>
      </c>
      <c r="BQ14" s="245">
        <v>0</v>
      </c>
      <c r="BR14" s="412" t="s">
        <v>346</v>
      </c>
      <c r="BS14" s="938"/>
      <c r="BT14" s="853">
        <v>0</v>
      </c>
      <c r="BU14" s="1161"/>
      <c r="BV14" s="1161"/>
      <c r="BW14" s="245">
        <v>0</v>
      </c>
      <c r="BX14" s="245">
        <v>0</v>
      </c>
      <c r="BY14" s="245">
        <v>0</v>
      </c>
      <c r="BZ14" s="412" t="s">
        <v>346</v>
      </c>
      <c r="CA14" s="938"/>
      <c r="CB14" s="853">
        <v>0</v>
      </c>
      <c r="CC14" s="1161"/>
      <c r="CD14" s="1161"/>
      <c r="CE14" s="245">
        <v>0</v>
      </c>
      <c r="CF14" s="245">
        <v>0</v>
      </c>
      <c r="CG14" s="245">
        <v>0</v>
      </c>
      <c r="CH14" s="412" t="s">
        <v>346</v>
      </c>
      <c r="CI14" s="938"/>
      <c r="CJ14" s="853">
        <v>0</v>
      </c>
      <c r="CK14" s="1161">
        <v>0</v>
      </c>
      <c r="CL14" s="1161">
        <v>0</v>
      </c>
      <c r="CM14" s="245">
        <v>0</v>
      </c>
      <c r="CN14" s="245">
        <v>0</v>
      </c>
      <c r="CO14" s="245">
        <v>0</v>
      </c>
      <c r="CP14" s="412" t="s">
        <v>346</v>
      </c>
      <c r="CQ14" s="938"/>
      <c r="CR14" s="853">
        <v>0</v>
      </c>
      <c r="CS14" s="245">
        <v>0</v>
      </c>
      <c r="CT14" s="245">
        <v>0</v>
      </c>
      <c r="CU14" s="245">
        <v>0</v>
      </c>
      <c r="CV14" s="245">
        <v>0</v>
      </c>
      <c r="CW14" s="245">
        <v>0</v>
      </c>
      <c r="CX14" s="412" t="s">
        <v>346</v>
      </c>
      <c r="CY14" s="938"/>
      <c r="CZ14" s="853">
        <v>0</v>
      </c>
      <c r="DA14" s="245">
        <v>0</v>
      </c>
      <c r="DB14" s="245">
        <v>0</v>
      </c>
      <c r="DC14" s="245">
        <v>0</v>
      </c>
      <c r="DD14" s="245">
        <v>0</v>
      </c>
      <c r="DE14" s="245">
        <v>0</v>
      </c>
      <c r="DF14" s="412" t="s">
        <v>346</v>
      </c>
      <c r="DG14" s="938"/>
      <c r="DH14" s="853">
        <v>0</v>
      </c>
      <c r="DI14" s="1161">
        <v>0</v>
      </c>
      <c r="DJ14" s="1161">
        <v>0</v>
      </c>
      <c r="DK14" s="245">
        <v>0</v>
      </c>
      <c r="DL14" s="245">
        <v>0</v>
      </c>
      <c r="DM14" s="245">
        <v>0</v>
      </c>
      <c r="DN14" s="412" t="s">
        <v>346</v>
      </c>
      <c r="DO14" s="938"/>
      <c r="DP14" s="853">
        <v>0</v>
      </c>
      <c r="DQ14" s="1161"/>
      <c r="DR14" s="1161"/>
      <c r="DS14" s="245">
        <v>0</v>
      </c>
      <c r="DT14" s="245">
        <v>0</v>
      </c>
      <c r="DU14" s="245">
        <v>0</v>
      </c>
      <c r="DV14" s="412" t="s">
        <v>346</v>
      </c>
      <c r="DW14" s="938"/>
      <c r="DX14" s="853">
        <v>0</v>
      </c>
      <c r="DY14" s="1161"/>
      <c r="DZ14" s="1161"/>
      <c r="EA14" s="245">
        <v>0</v>
      </c>
      <c r="EB14" s="245">
        <v>0</v>
      </c>
      <c r="EC14" s="1233">
        <v>0</v>
      </c>
      <c r="ED14" s="1171" t="s">
        <v>346</v>
      </c>
      <c r="EE14" s="1230"/>
      <c r="EF14" s="853">
        <v>0</v>
      </c>
      <c r="EG14" s="245">
        <v>0</v>
      </c>
      <c r="EH14" s="245">
        <v>0</v>
      </c>
      <c r="EI14" s="245">
        <v>0</v>
      </c>
      <c r="EJ14" s="245">
        <v>0</v>
      </c>
      <c r="EK14" s="1233">
        <v>0</v>
      </c>
      <c r="EL14" s="1171" t="s">
        <v>346</v>
      </c>
      <c r="EM14" s="1230"/>
      <c r="EN14" s="853">
        <v>0</v>
      </c>
      <c r="EO14" s="245">
        <v>0</v>
      </c>
      <c r="EP14" s="245">
        <v>0</v>
      </c>
      <c r="EQ14" s="245">
        <v>0</v>
      </c>
      <c r="ER14" s="245">
        <v>0</v>
      </c>
      <c r="ES14" s="1233">
        <v>0</v>
      </c>
      <c r="ET14" s="1171" t="s">
        <v>346</v>
      </c>
      <c r="EU14" s="1230"/>
      <c r="EV14" s="853">
        <v>0</v>
      </c>
      <c r="EW14" s="245">
        <v>0</v>
      </c>
      <c r="EX14" s="671">
        <v>0</v>
      </c>
      <c r="EY14" s="245">
        <v>0</v>
      </c>
      <c r="EZ14" s="367">
        <v>0</v>
      </c>
      <c r="FA14" s="368">
        <v>0</v>
      </c>
      <c r="FB14" s="369" t="s">
        <v>346</v>
      </c>
    </row>
    <row r="15" spans="1:158" ht="20.100000000000001" customHeight="1" thickBot="1">
      <c r="B15" s="1749"/>
      <c r="C15" s="1751"/>
      <c r="D15" s="428" t="s">
        <v>14</v>
      </c>
      <c r="E15" s="429"/>
      <c r="F15" s="312"/>
      <c r="G15" s="314">
        <v>100</v>
      </c>
      <c r="H15" s="1229"/>
      <c r="I15" s="445"/>
      <c r="J15" s="446"/>
      <c r="K15" s="447">
        <v>10.055</v>
      </c>
      <c r="L15" s="1229"/>
      <c r="M15" s="466"/>
      <c r="N15" s="467"/>
      <c r="O15" s="1230"/>
      <c r="P15" s="466"/>
      <c r="Q15" s="860" t="s">
        <v>4</v>
      </c>
      <c r="R15" s="854">
        <v>5.3375259259259256</v>
      </c>
      <c r="S15" s="938"/>
      <c r="T15" s="466"/>
      <c r="U15" s="490" t="s">
        <v>4</v>
      </c>
      <c r="V15" s="854">
        <v>6.8993861111111103</v>
      </c>
      <c r="W15" s="938"/>
      <c r="X15" s="466"/>
      <c r="Y15" s="490" t="s">
        <v>4</v>
      </c>
      <c r="Z15" s="854">
        <v>7.2558696296296299</v>
      </c>
      <c r="AA15" s="938"/>
      <c r="AB15" s="466"/>
      <c r="AC15" s="490" t="s">
        <v>4</v>
      </c>
      <c r="AD15" s="855">
        <v>19.492781666666666</v>
      </c>
      <c r="AE15" s="938"/>
      <c r="AF15" s="970"/>
      <c r="AG15" s="673"/>
      <c r="AH15" s="490" t="s">
        <v>4</v>
      </c>
      <c r="AI15" s="490">
        <v>0</v>
      </c>
      <c r="AJ15" s="974"/>
      <c r="AK15" s="490">
        <v>6.4975938888888898</v>
      </c>
      <c r="AL15" s="467"/>
      <c r="AM15" s="938"/>
      <c r="AN15" s="970"/>
      <c r="AO15" s="673"/>
      <c r="AP15" s="490" t="s">
        <v>4</v>
      </c>
      <c r="AQ15" s="854">
        <v>0</v>
      </c>
      <c r="AR15" s="974"/>
      <c r="AS15" s="490">
        <v>6.4975938888888898</v>
      </c>
      <c r="AT15" s="467"/>
      <c r="AU15" s="938"/>
      <c r="AV15" s="970"/>
      <c r="AW15" s="673"/>
      <c r="AX15" s="490" t="s">
        <v>4</v>
      </c>
      <c r="AY15" s="854">
        <v>11.174363783068781</v>
      </c>
      <c r="AZ15" s="974"/>
      <c r="BA15" s="490">
        <v>17.671957671957674</v>
      </c>
      <c r="BB15" s="467"/>
      <c r="BC15" s="938"/>
      <c r="BD15" s="970"/>
      <c r="BE15" s="673"/>
      <c r="BF15" s="490" t="s">
        <v>4</v>
      </c>
      <c r="BG15" s="854">
        <v>11.174363783068781</v>
      </c>
      <c r="BH15" s="974"/>
      <c r="BI15" s="490">
        <v>17.671957671957674</v>
      </c>
      <c r="BJ15" s="467"/>
      <c r="BK15" s="938"/>
      <c r="BL15" s="970"/>
      <c r="BM15" s="673"/>
      <c r="BN15" s="490" t="s">
        <v>4</v>
      </c>
      <c r="BO15" s="854">
        <v>30.667145449735447</v>
      </c>
      <c r="BP15" s="974"/>
      <c r="BQ15" s="490">
        <v>17.671957671957674</v>
      </c>
      <c r="BR15" s="467"/>
      <c r="BS15" s="938"/>
      <c r="BT15" s="970"/>
      <c r="BU15" s="673"/>
      <c r="BV15" s="490" t="s">
        <v>4</v>
      </c>
      <c r="BW15" s="854">
        <v>0</v>
      </c>
      <c r="BX15" s="974"/>
      <c r="BY15" s="490">
        <v>17.671957671957674</v>
      </c>
      <c r="BZ15" s="467"/>
      <c r="CA15" s="938"/>
      <c r="CB15" s="970"/>
      <c r="CC15" s="673"/>
      <c r="CD15" s="490" t="s">
        <v>4</v>
      </c>
      <c r="CE15" s="854">
        <v>0</v>
      </c>
      <c r="CF15" s="974"/>
      <c r="CG15" s="490">
        <v>17.671957671957674</v>
      </c>
      <c r="CH15" s="467"/>
      <c r="CI15" s="938"/>
      <c r="CJ15" s="970"/>
      <c r="CK15" s="673"/>
      <c r="CL15" s="490" t="s">
        <v>4</v>
      </c>
      <c r="CM15" s="854">
        <v>0.18518518518518517</v>
      </c>
      <c r="CN15" s="974"/>
      <c r="CO15" s="490">
        <v>17.857142857142858</v>
      </c>
      <c r="CP15" s="467"/>
      <c r="CQ15" s="938"/>
      <c r="CR15" s="970"/>
      <c r="CS15" s="673"/>
      <c r="CT15" s="490" t="s">
        <v>4</v>
      </c>
      <c r="CU15" s="854">
        <v>0.18518518518518517</v>
      </c>
      <c r="CV15" s="974"/>
      <c r="CW15" s="490">
        <v>17.857142857142858</v>
      </c>
      <c r="CX15" s="467"/>
      <c r="CY15" s="938"/>
      <c r="CZ15" s="970"/>
      <c r="DA15" s="673"/>
      <c r="DB15" s="490" t="s">
        <v>4</v>
      </c>
      <c r="DC15" s="854">
        <v>30.852330634920634</v>
      </c>
      <c r="DD15" s="974"/>
      <c r="DE15" s="490">
        <v>17.857142857142858</v>
      </c>
      <c r="DF15" s="467"/>
      <c r="DG15" s="938"/>
      <c r="DH15" s="970"/>
      <c r="DI15" s="673"/>
      <c r="DJ15" s="490" t="s">
        <v>4</v>
      </c>
      <c r="DK15" s="854">
        <v>0</v>
      </c>
      <c r="DL15" s="974"/>
      <c r="DM15" s="490">
        <v>17.857142857142858</v>
      </c>
      <c r="DN15" s="467"/>
      <c r="DO15" s="938"/>
      <c r="DP15" s="970"/>
      <c r="DQ15" s="673"/>
      <c r="DR15" s="490" t="s">
        <v>4</v>
      </c>
      <c r="DS15" s="854">
        <v>0</v>
      </c>
      <c r="DT15" s="974"/>
      <c r="DU15" s="490">
        <v>17.857142857142858</v>
      </c>
      <c r="DV15" s="467"/>
      <c r="DW15" s="938"/>
      <c r="DX15" s="970"/>
      <c r="DY15" s="673"/>
      <c r="DZ15" s="490" t="s">
        <v>4</v>
      </c>
      <c r="EA15" s="854">
        <v>0</v>
      </c>
      <c r="EB15" s="1235"/>
      <c r="EC15" s="260">
        <v>17.857142857142858</v>
      </c>
      <c r="ED15" s="471"/>
      <c r="EE15" s="1230"/>
      <c r="EF15" s="970"/>
      <c r="EG15" s="673"/>
      <c r="EH15" s="490" t="s">
        <v>4</v>
      </c>
      <c r="EI15" s="259">
        <v>0</v>
      </c>
      <c r="EJ15" s="1235"/>
      <c r="EK15" s="260">
        <v>17.857142857142858</v>
      </c>
      <c r="EL15" s="471"/>
      <c r="EM15" s="1230"/>
      <c r="EN15" s="970"/>
      <c r="EO15" s="673"/>
      <c r="EP15" s="490" t="s">
        <v>4</v>
      </c>
      <c r="EQ15" s="259">
        <v>0.18518518518518517</v>
      </c>
      <c r="ER15" s="1235"/>
      <c r="ES15" s="260">
        <v>17.857142857142858</v>
      </c>
      <c r="ET15" s="471"/>
      <c r="EU15" s="1230"/>
      <c r="EV15" s="970"/>
      <c r="EW15" s="489"/>
      <c r="EX15" s="265" t="s">
        <v>4</v>
      </c>
      <c r="EY15" s="259">
        <v>30.852330634920634</v>
      </c>
      <c r="EZ15" s="373"/>
      <c r="FA15" s="370">
        <v>17.857142857142858</v>
      </c>
      <c r="FB15" s="371"/>
    </row>
    <row r="16" spans="1:158" ht="20.100000000000001" customHeight="1">
      <c r="B16" s="1732" t="s">
        <v>20</v>
      </c>
      <c r="C16" s="1736" t="s">
        <v>110</v>
      </c>
      <c r="D16" s="427" t="s">
        <v>214</v>
      </c>
      <c r="E16" s="177" t="s">
        <v>12</v>
      </c>
      <c r="F16" s="266">
        <v>800</v>
      </c>
      <c r="G16" s="267">
        <v>5</v>
      </c>
      <c r="H16" s="1229"/>
      <c r="I16" s="448">
        <v>80</v>
      </c>
      <c r="J16" s="313">
        <v>160</v>
      </c>
      <c r="K16" s="288">
        <v>1</v>
      </c>
      <c r="L16" s="1229"/>
      <c r="M16" s="289">
        <v>80</v>
      </c>
      <c r="N16" s="694">
        <v>0</v>
      </c>
      <c r="O16" s="1230"/>
      <c r="P16" s="969">
        <v>6.2500000000000003E-3</v>
      </c>
      <c r="Q16" s="1236">
        <v>5</v>
      </c>
      <c r="R16" s="245">
        <v>3.125E-2</v>
      </c>
      <c r="S16" s="1237"/>
      <c r="T16" s="969">
        <v>6.2500000000000003E-3</v>
      </c>
      <c r="U16" s="243">
        <v>5</v>
      </c>
      <c r="V16" s="245">
        <v>3.125E-2</v>
      </c>
      <c r="W16" s="1237"/>
      <c r="X16" s="969">
        <v>6.2500000000000003E-3</v>
      </c>
      <c r="Y16" s="243">
        <v>10</v>
      </c>
      <c r="Z16" s="245">
        <v>6.25E-2</v>
      </c>
      <c r="AA16" s="1237"/>
      <c r="AB16" s="852" t="e">
        <v>#DIV/0!</v>
      </c>
      <c r="AC16" s="245">
        <v>20</v>
      </c>
      <c r="AD16" s="245">
        <v>0.125</v>
      </c>
      <c r="AE16" s="1237"/>
      <c r="AF16" s="853">
        <v>0</v>
      </c>
      <c r="AG16" s="1169">
        <v>20</v>
      </c>
      <c r="AH16" s="1169">
        <v>0</v>
      </c>
      <c r="AI16" s="245">
        <v>0</v>
      </c>
      <c r="AJ16" s="245">
        <v>20</v>
      </c>
      <c r="AK16" s="245">
        <v>0.125</v>
      </c>
      <c r="AL16" s="411" t="s">
        <v>279</v>
      </c>
      <c r="AM16" s="1237"/>
      <c r="AN16" s="853">
        <v>0</v>
      </c>
      <c r="AO16" s="1169">
        <v>20</v>
      </c>
      <c r="AP16" s="1169">
        <v>0</v>
      </c>
      <c r="AQ16" s="245">
        <v>0</v>
      </c>
      <c r="AR16" s="245">
        <v>20</v>
      </c>
      <c r="AS16" s="245">
        <v>0.125</v>
      </c>
      <c r="AT16" s="411" t="s">
        <v>279</v>
      </c>
      <c r="AU16" s="1237"/>
      <c r="AV16" s="853">
        <v>0</v>
      </c>
      <c r="AW16" s="1161">
        <v>20</v>
      </c>
      <c r="AX16" s="1161">
        <v>0</v>
      </c>
      <c r="AY16" s="245">
        <v>0</v>
      </c>
      <c r="AZ16" s="245">
        <v>20</v>
      </c>
      <c r="BA16" s="245">
        <v>0.125</v>
      </c>
      <c r="BB16" s="411" t="s">
        <v>279</v>
      </c>
      <c r="BC16" s="1237"/>
      <c r="BD16" s="853">
        <v>0</v>
      </c>
      <c r="BE16" s="245">
        <v>60</v>
      </c>
      <c r="BF16" s="245">
        <v>0</v>
      </c>
      <c r="BG16" s="245">
        <v>0</v>
      </c>
      <c r="BH16" s="245">
        <v>20</v>
      </c>
      <c r="BI16" s="245">
        <v>0.125</v>
      </c>
      <c r="BJ16" s="411" t="s">
        <v>279</v>
      </c>
      <c r="BK16" s="1237"/>
      <c r="BL16" s="853">
        <v>25</v>
      </c>
      <c r="BM16" s="245">
        <v>80</v>
      </c>
      <c r="BN16" s="245">
        <v>20</v>
      </c>
      <c r="BO16" s="245">
        <v>0.125</v>
      </c>
      <c r="BP16" s="245">
        <v>20</v>
      </c>
      <c r="BQ16" s="245">
        <v>0.125</v>
      </c>
      <c r="BR16" s="411" t="s">
        <v>279</v>
      </c>
      <c r="BS16" s="1237"/>
      <c r="BT16" s="853">
        <v>0</v>
      </c>
      <c r="BU16" s="1160">
        <v>0</v>
      </c>
      <c r="BV16" s="1160">
        <v>0</v>
      </c>
      <c r="BW16" s="245">
        <v>0</v>
      </c>
      <c r="BX16" s="245">
        <v>20</v>
      </c>
      <c r="BY16" s="245">
        <v>0.125</v>
      </c>
      <c r="BZ16" s="411" t="s">
        <v>279</v>
      </c>
      <c r="CA16" s="1237"/>
      <c r="CB16" s="853">
        <v>0</v>
      </c>
      <c r="CC16" s="1161">
        <v>0</v>
      </c>
      <c r="CD16" s="1161">
        <v>0</v>
      </c>
      <c r="CE16" s="245">
        <v>0</v>
      </c>
      <c r="CF16" s="245">
        <v>20</v>
      </c>
      <c r="CG16" s="245">
        <v>0.125</v>
      </c>
      <c r="CH16" s="411" t="s">
        <v>279</v>
      </c>
      <c r="CI16" s="1237"/>
      <c r="CJ16" s="853">
        <v>0</v>
      </c>
      <c r="CK16" s="1161">
        <v>0</v>
      </c>
      <c r="CL16" s="1161"/>
      <c r="CM16" s="245">
        <v>0</v>
      </c>
      <c r="CN16" s="245">
        <v>20</v>
      </c>
      <c r="CO16" s="245">
        <v>0.125</v>
      </c>
      <c r="CP16" s="411" t="s">
        <v>279</v>
      </c>
      <c r="CQ16" s="938"/>
      <c r="CR16" s="853">
        <v>0</v>
      </c>
      <c r="CS16" s="245">
        <v>0</v>
      </c>
      <c r="CT16" s="245">
        <v>0</v>
      </c>
      <c r="CU16" s="245">
        <v>0</v>
      </c>
      <c r="CV16" s="245">
        <v>20</v>
      </c>
      <c r="CW16" s="245">
        <v>0.125</v>
      </c>
      <c r="CX16" s="411" t="s">
        <v>279</v>
      </c>
      <c r="CY16" s="938"/>
      <c r="CZ16" s="853">
        <v>25</v>
      </c>
      <c r="DA16" s="245">
        <v>80</v>
      </c>
      <c r="DB16" s="245">
        <v>20</v>
      </c>
      <c r="DC16" s="245">
        <v>0.125</v>
      </c>
      <c r="DD16" s="245">
        <v>20</v>
      </c>
      <c r="DE16" s="245">
        <v>0.125</v>
      </c>
      <c r="DF16" s="411" t="s">
        <v>279</v>
      </c>
      <c r="DG16" s="938"/>
      <c r="DH16" s="853">
        <v>0</v>
      </c>
      <c r="DI16" s="1161">
        <v>0</v>
      </c>
      <c r="DJ16" s="1161">
        <v>0</v>
      </c>
      <c r="DK16" s="245">
        <v>0</v>
      </c>
      <c r="DL16" s="245">
        <v>20</v>
      </c>
      <c r="DM16" s="245">
        <v>0.125</v>
      </c>
      <c r="DN16" s="411" t="s">
        <v>279</v>
      </c>
      <c r="DO16" s="938"/>
      <c r="DP16" s="853">
        <v>0</v>
      </c>
      <c r="DQ16" s="1161">
        <v>0</v>
      </c>
      <c r="DR16" s="1161"/>
      <c r="DS16" s="245">
        <v>0</v>
      </c>
      <c r="DT16" s="245">
        <v>20</v>
      </c>
      <c r="DU16" s="245">
        <v>0.125</v>
      </c>
      <c r="DV16" s="411" t="s">
        <v>279</v>
      </c>
      <c r="DW16" s="938"/>
      <c r="DX16" s="853">
        <v>0</v>
      </c>
      <c r="DY16" s="1161">
        <v>0</v>
      </c>
      <c r="DZ16" s="1161"/>
      <c r="EA16" s="245">
        <v>0</v>
      </c>
      <c r="EB16" s="245">
        <v>20</v>
      </c>
      <c r="EC16" s="1233">
        <v>0.125</v>
      </c>
      <c r="ED16" s="1168" t="s">
        <v>279</v>
      </c>
      <c r="EE16" s="1230"/>
      <c r="EF16" s="853">
        <v>0</v>
      </c>
      <c r="EG16" s="245">
        <v>0</v>
      </c>
      <c r="EH16" s="245">
        <v>0</v>
      </c>
      <c r="EI16" s="245">
        <v>0</v>
      </c>
      <c r="EJ16" s="245">
        <v>20</v>
      </c>
      <c r="EK16" s="1233">
        <v>0.125</v>
      </c>
      <c r="EL16" s="1168" t="s">
        <v>279</v>
      </c>
      <c r="EM16" s="1230"/>
      <c r="EN16" s="853">
        <v>0</v>
      </c>
      <c r="EO16" s="245">
        <v>0</v>
      </c>
      <c r="EP16" s="245">
        <v>0</v>
      </c>
      <c r="EQ16" s="245">
        <v>0</v>
      </c>
      <c r="ER16" s="245">
        <v>20</v>
      </c>
      <c r="ES16" s="1233">
        <v>0.125</v>
      </c>
      <c r="ET16" s="1168" t="s">
        <v>279</v>
      </c>
      <c r="EU16" s="1230"/>
      <c r="EV16" s="853">
        <v>25</v>
      </c>
      <c r="EW16" s="245">
        <v>80</v>
      </c>
      <c r="EX16" s="245">
        <v>20</v>
      </c>
      <c r="EY16" s="245">
        <v>0.125</v>
      </c>
      <c r="EZ16" s="367">
        <v>20</v>
      </c>
      <c r="FA16" s="368">
        <v>0.125</v>
      </c>
      <c r="FB16" s="372" t="s">
        <v>279</v>
      </c>
    </row>
    <row r="17" spans="2:158" ht="31.15" customHeight="1">
      <c r="B17" s="1733"/>
      <c r="C17" s="1737"/>
      <c r="D17" s="178" t="s">
        <v>215</v>
      </c>
      <c r="E17" s="174" t="s">
        <v>12</v>
      </c>
      <c r="F17" s="250">
        <v>15</v>
      </c>
      <c r="G17" s="251">
        <v>5</v>
      </c>
      <c r="H17" s="1229"/>
      <c r="I17" s="449">
        <v>2</v>
      </c>
      <c r="J17" s="313">
        <v>3.9990000000000001</v>
      </c>
      <c r="K17" s="293">
        <v>1.333</v>
      </c>
      <c r="L17" s="1229"/>
      <c r="M17" s="294">
        <v>8</v>
      </c>
      <c r="N17" s="694">
        <v>6.0009999999999994</v>
      </c>
      <c r="O17" s="1230"/>
      <c r="P17" s="465">
        <v>16.663889351774706</v>
      </c>
      <c r="Q17" s="1238">
        <v>1</v>
      </c>
      <c r="R17" s="245">
        <v>0.33333333333333331</v>
      </c>
      <c r="S17" s="1237"/>
      <c r="T17" s="465">
        <v>16.663889351774706</v>
      </c>
      <c r="U17" s="245">
        <v>1</v>
      </c>
      <c r="V17" s="245">
        <v>0.33333333333333331</v>
      </c>
      <c r="W17" s="1237"/>
      <c r="X17" s="465">
        <v>16.663889351774706</v>
      </c>
      <c r="Y17" s="245">
        <v>1</v>
      </c>
      <c r="Z17" s="245">
        <v>0.33333333333333331</v>
      </c>
      <c r="AA17" s="1237"/>
      <c r="AB17" s="465">
        <v>49.991668055324119</v>
      </c>
      <c r="AC17" s="245">
        <v>3</v>
      </c>
      <c r="AD17" s="245">
        <v>1</v>
      </c>
      <c r="AE17" s="1237"/>
      <c r="AF17" s="853">
        <v>0</v>
      </c>
      <c r="AG17" s="1169">
        <v>2</v>
      </c>
      <c r="AH17" s="1169">
        <v>0</v>
      </c>
      <c r="AI17" s="245">
        <v>0</v>
      </c>
      <c r="AJ17" s="245">
        <v>3</v>
      </c>
      <c r="AK17" s="245">
        <v>1</v>
      </c>
      <c r="AL17" s="412" t="s">
        <v>279</v>
      </c>
      <c r="AM17" s="1237"/>
      <c r="AN17" s="853">
        <v>0</v>
      </c>
      <c r="AO17" s="1169">
        <v>2</v>
      </c>
      <c r="AP17" s="1169">
        <v>0</v>
      </c>
      <c r="AQ17" s="245">
        <v>0</v>
      </c>
      <c r="AR17" s="245">
        <v>3</v>
      </c>
      <c r="AS17" s="245">
        <v>1</v>
      </c>
      <c r="AT17" s="412" t="s">
        <v>279</v>
      </c>
      <c r="AU17" s="1237"/>
      <c r="AV17" s="853">
        <v>0</v>
      </c>
      <c r="AW17" s="1161">
        <v>1</v>
      </c>
      <c r="AX17" s="1161">
        <v>0</v>
      </c>
      <c r="AY17" s="245">
        <v>0</v>
      </c>
      <c r="AZ17" s="245">
        <v>3</v>
      </c>
      <c r="BA17" s="245">
        <v>1</v>
      </c>
      <c r="BB17" s="412" t="s">
        <v>279</v>
      </c>
      <c r="BC17" s="1237"/>
      <c r="BD17" s="853">
        <v>0</v>
      </c>
      <c r="BE17" s="245">
        <v>5</v>
      </c>
      <c r="BF17" s="245">
        <v>0</v>
      </c>
      <c r="BG17" s="245">
        <v>0</v>
      </c>
      <c r="BH17" s="245">
        <v>3</v>
      </c>
      <c r="BI17" s="245">
        <v>1</v>
      </c>
      <c r="BJ17" s="412" t="s">
        <v>279</v>
      </c>
      <c r="BK17" s="1237"/>
      <c r="BL17" s="853">
        <v>37.5</v>
      </c>
      <c r="BM17" s="245">
        <v>8</v>
      </c>
      <c r="BN17" s="245">
        <v>3</v>
      </c>
      <c r="BO17" s="245">
        <v>1</v>
      </c>
      <c r="BP17" s="245">
        <v>3</v>
      </c>
      <c r="BQ17" s="245">
        <v>1</v>
      </c>
      <c r="BR17" s="412" t="s">
        <v>279</v>
      </c>
      <c r="BS17" s="1237"/>
      <c r="BT17" s="853">
        <v>0</v>
      </c>
      <c r="BU17" s="1161">
        <v>0</v>
      </c>
      <c r="BV17" s="1161">
        <v>0</v>
      </c>
      <c r="BW17" s="245">
        <v>0</v>
      </c>
      <c r="BX17" s="245">
        <v>3</v>
      </c>
      <c r="BY17" s="245">
        <v>1</v>
      </c>
      <c r="BZ17" s="412" t="s">
        <v>279</v>
      </c>
      <c r="CA17" s="1237"/>
      <c r="CB17" s="853">
        <v>0</v>
      </c>
      <c r="CC17" s="1161">
        <v>0</v>
      </c>
      <c r="CD17" s="1161">
        <v>0</v>
      </c>
      <c r="CE17" s="245">
        <v>0</v>
      </c>
      <c r="CF17" s="245">
        <v>3</v>
      </c>
      <c r="CG17" s="245">
        <v>1</v>
      </c>
      <c r="CH17" s="412" t="s">
        <v>279</v>
      </c>
      <c r="CI17" s="1237"/>
      <c r="CJ17" s="853">
        <v>0</v>
      </c>
      <c r="CK17" s="1161">
        <v>0.66677777777777769</v>
      </c>
      <c r="CL17" s="1161"/>
      <c r="CM17" s="245">
        <v>0</v>
      </c>
      <c r="CN17" s="245">
        <v>3</v>
      </c>
      <c r="CO17" s="245">
        <v>1</v>
      </c>
      <c r="CP17" s="412" t="s">
        <v>279</v>
      </c>
      <c r="CQ17" s="938"/>
      <c r="CR17" s="853">
        <v>0</v>
      </c>
      <c r="CS17" s="245">
        <v>0.66677777777777769</v>
      </c>
      <c r="CT17" s="245">
        <v>0</v>
      </c>
      <c r="CU17" s="245">
        <v>0</v>
      </c>
      <c r="CV17" s="245">
        <v>3</v>
      </c>
      <c r="CW17" s="245">
        <v>1</v>
      </c>
      <c r="CX17" s="412" t="s">
        <v>279</v>
      </c>
      <c r="CY17" s="938"/>
      <c r="CZ17" s="853">
        <v>34.614940834091868</v>
      </c>
      <c r="DA17" s="245">
        <v>8.6667777777777779</v>
      </c>
      <c r="DB17" s="245">
        <v>3</v>
      </c>
      <c r="DC17" s="245">
        <v>1</v>
      </c>
      <c r="DD17" s="245">
        <v>3</v>
      </c>
      <c r="DE17" s="245">
        <v>1</v>
      </c>
      <c r="DF17" s="412" t="s">
        <v>279</v>
      </c>
      <c r="DG17" s="938"/>
      <c r="DH17" s="853">
        <v>0</v>
      </c>
      <c r="DI17" s="1161">
        <v>0.66677777777777769</v>
      </c>
      <c r="DJ17" s="1161">
        <v>0</v>
      </c>
      <c r="DK17" s="245">
        <v>0</v>
      </c>
      <c r="DL17" s="245">
        <v>3</v>
      </c>
      <c r="DM17" s="245">
        <v>1</v>
      </c>
      <c r="DN17" s="412" t="s">
        <v>279</v>
      </c>
      <c r="DO17" s="938"/>
      <c r="DP17" s="853">
        <v>0</v>
      </c>
      <c r="DQ17" s="1161">
        <v>0.66677777777777769</v>
      </c>
      <c r="DR17" s="1161"/>
      <c r="DS17" s="245">
        <v>0</v>
      </c>
      <c r="DT17" s="245">
        <v>3</v>
      </c>
      <c r="DU17" s="245">
        <v>1</v>
      </c>
      <c r="DV17" s="412" t="s">
        <v>279</v>
      </c>
      <c r="DW17" s="938"/>
      <c r="DX17" s="853">
        <v>0</v>
      </c>
      <c r="DY17" s="1161">
        <v>0.66677777777777769</v>
      </c>
      <c r="DZ17" s="1161"/>
      <c r="EA17" s="245">
        <v>0</v>
      </c>
      <c r="EB17" s="245">
        <v>3</v>
      </c>
      <c r="EC17" s="1233">
        <v>1</v>
      </c>
      <c r="ED17" s="1171" t="s">
        <v>279</v>
      </c>
      <c r="EE17" s="1230"/>
      <c r="EF17" s="853">
        <v>0</v>
      </c>
      <c r="EG17" s="245">
        <v>2.0003333333333329</v>
      </c>
      <c r="EH17" s="245">
        <v>0</v>
      </c>
      <c r="EI17" s="245">
        <v>0</v>
      </c>
      <c r="EJ17" s="245">
        <v>3</v>
      </c>
      <c r="EK17" s="1233">
        <v>1</v>
      </c>
      <c r="EL17" s="1171" t="s">
        <v>279</v>
      </c>
      <c r="EM17" s="1230"/>
      <c r="EN17" s="853">
        <v>0</v>
      </c>
      <c r="EO17" s="245">
        <v>2.6671111111111108</v>
      </c>
      <c r="EP17" s="245">
        <v>0</v>
      </c>
      <c r="EQ17" s="245">
        <v>0</v>
      </c>
      <c r="ER17" s="245">
        <v>3</v>
      </c>
      <c r="ES17" s="1233">
        <v>1</v>
      </c>
      <c r="ET17" s="1171" t="s">
        <v>279</v>
      </c>
      <c r="EU17" s="1230"/>
      <c r="EV17" s="853">
        <v>28.123828173826087</v>
      </c>
      <c r="EW17" s="245">
        <v>10.667111111111112</v>
      </c>
      <c r="EX17" s="245">
        <v>3</v>
      </c>
      <c r="EY17" s="245">
        <v>1</v>
      </c>
      <c r="EZ17" s="367">
        <v>3</v>
      </c>
      <c r="FA17" s="368">
        <v>1</v>
      </c>
      <c r="FB17" s="369" t="s">
        <v>279</v>
      </c>
    </row>
    <row r="18" spans="2:158" ht="20.100000000000001" customHeight="1">
      <c r="B18" s="1733"/>
      <c r="C18" s="1737"/>
      <c r="D18" s="178" t="s">
        <v>257</v>
      </c>
      <c r="E18" s="174" t="s">
        <v>12</v>
      </c>
      <c r="F18" s="250">
        <v>800</v>
      </c>
      <c r="G18" s="251">
        <v>15</v>
      </c>
      <c r="H18" s="1229"/>
      <c r="I18" s="449">
        <v>80</v>
      </c>
      <c r="J18" s="313">
        <v>60</v>
      </c>
      <c r="K18" s="293">
        <v>1.125</v>
      </c>
      <c r="L18" s="1229"/>
      <c r="M18" s="294">
        <v>1</v>
      </c>
      <c r="N18" s="694">
        <v>21</v>
      </c>
      <c r="O18" s="1230"/>
      <c r="P18" s="465">
        <v>0</v>
      </c>
      <c r="Q18" s="1238">
        <v>0</v>
      </c>
      <c r="R18" s="245">
        <v>0</v>
      </c>
      <c r="S18" s="1237"/>
      <c r="T18" s="465">
        <v>0</v>
      </c>
      <c r="U18" s="245">
        <v>0</v>
      </c>
      <c r="V18" s="245">
        <v>0</v>
      </c>
      <c r="W18" s="1237"/>
      <c r="X18" s="465">
        <v>0</v>
      </c>
      <c r="Y18" s="245">
        <v>0</v>
      </c>
      <c r="Z18" s="245">
        <v>0</v>
      </c>
      <c r="AA18" s="1237"/>
      <c r="AB18" s="465">
        <v>0</v>
      </c>
      <c r="AC18" s="245">
        <v>0</v>
      </c>
      <c r="AD18" s="245">
        <v>0</v>
      </c>
      <c r="AE18" s="1237"/>
      <c r="AF18" s="853">
        <v>0</v>
      </c>
      <c r="AG18" s="1169">
        <v>0</v>
      </c>
      <c r="AH18" s="1169">
        <v>0</v>
      </c>
      <c r="AI18" s="245">
        <v>0</v>
      </c>
      <c r="AJ18" s="245">
        <v>0</v>
      </c>
      <c r="AK18" s="245">
        <v>0</v>
      </c>
      <c r="AL18" s="412" t="s">
        <v>279</v>
      </c>
      <c r="AM18" s="1237"/>
      <c r="AN18" s="853">
        <v>0</v>
      </c>
      <c r="AO18" s="1169"/>
      <c r="AP18" s="1169">
        <v>0</v>
      </c>
      <c r="AQ18" s="245">
        <v>0</v>
      </c>
      <c r="AR18" s="245">
        <v>0</v>
      </c>
      <c r="AS18" s="245">
        <v>0</v>
      </c>
      <c r="AT18" s="412" t="s">
        <v>279</v>
      </c>
      <c r="AU18" s="1237"/>
      <c r="AV18" s="853">
        <v>0</v>
      </c>
      <c r="AW18" s="1161">
        <v>0</v>
      </c>
      <c r="AX18" s="1161">
        <v>0</v>
      </c>
      <c r="AY18" s="245">
        <v>0</v>
      </c>
      <c r="AZ18" s="245">
        <v>0</v>
      </c>
      <c r="BA18" s="245">
        <v>0</v>
      </c>
      <c r="BB18" s="412" t="s">
        <v>279</v>
      </c>
      <c r="BC18" s="1237"/>
      <c r="BD18" s="853">
        <v>0</v>
      </c>
      <c r="BE18" s="245">
        <v>0</v>
      </c>
      <c r="BF18" s="245">
        <v>0</v>
      </c>
      <c r="BG18" s="245">
        <v>0</v>
      </c>
      <c r="BH18" s="245">
        <v>0</v>
      </c>
      <c r="BI18" s="245">
        <v>0</v>
      </c>
      <c r="BJ18" s="412" t="s">
        <v>279</v>
      </c>
      <c r="BK18" s="1237"/>
      <c r="BL18" s="853">
        <v>0</v>
      </c>
      <c r="BM18" s="245">
        <v>0</v>
      </c>
      <c r="BN18" s="245">
        <v>0</v>
      </c>
      <c r="BO18" s="245">
        <v>0</v>
      </c>
      <c r="BP18" s="245">
        <v>0</v>
      </c>
      <c r="BQ18" s="245">
        <v>0</v>
      </c>
      <c r="BR18" s="412" t="s">
        <v>279</v>
      </c>
      <c r="BS18" s="1237"/>
      <c r="BT18" s="853">
        <v>0</v>
      </c>
      <c r="BU18" s="1161">
        <v>0.66</v>
      </c>
      <c r="BV18" s="1161">
        <v>0</v>
      </c>
      <c r="BW18" s="245">
        <v>0</v>
      </c>
      <c r="BX18" s="245">
        <v>0</v>
      </c>
      <c r="BY18" s="245">
        <v>0</v>
      </c>
      <c r="BZ18" s="412" t="s">
        <v>279</v>
      </c>
      <c r="CA18" s="1237"/>
      <c r="CB18" s="853">
        <v>0</v>
      </c>
      <c r="CC18" s="1161">
        <v>0</v>
      </c>
      <c r="CD18" s="1161">
        <v>0</v>
      </c>
      <c r="CE18" s="245">
        <v>0</v>
      </c>
      <c r="CF18" s="245">
        <v>0</v>
      </c>
      <c r="CG18" s="245">
        <v>0</v>
      </c>
      <c r="CH18" s="412" t="s">
        <v>279</v>
      </c>
      <c r="CI18" s="1237"/>
      <c r="CJ18" s="853">
        <v>0</v>
      </c>
      <c r="CK18" s="1161">
        <v>2.3333333333333335</v>
      </c>
      <c r="CL18" s="1161"/>
      <c r="CM18" s="245">
        <v>0</v>
      </c>
      <c r="CN18" s="245">
        <v>0</v>
      </c>
      <c r="CO18" s="245">
        <v>0</v>
      </c>
      <c r="CP18" s="412" t="s">
        <v>279</v>
      </c>
      <c r="CQ18" s="938"/>
      <c r="CR18" s="853">
        <v>0</v>
      </c>
      <c r="CS18" s="245">
        <v>2.9933333333333336</v>
      </c>
      <c r="CT18" s="245">
        <v>0</v>
      </c>
      <c r="CU18" s="245">
        <v>0</v>
      </c>
      <c r="CV18" s="245">
        <v>0</v>
      </c>
      <c r="CW18" s="245">
        <v>0</v>
      </c>
      <c r="CX18" s="412" t="s">
        <v>279</v>
      </c>
      <c r="CY18" s="938"/>
      <c r="CZ18" s="853">
        <v>0</v>
      </c>
      <c r="DA18" s="245">
        <v>2.9933333333333336</v>
      </c>
      <c r="DB18" s="245">
        <v>0</v>
      </c>
      <c r="DC18" s="245">
        <v>0</v>
      </c>
      <c r="DD18" s="245">
        <v>0</v>
      </c>
      <c r="DE18" s="245">
        <v>0</v>
      </c>
      <c r="DF18" s="412" t="s">
        <v>279</v>
      </c>
      <c r="DG18" s="938"/>
      <c r="DH18" s="853">
        <v>0</v>
      </c>
      <c r="DI18" s="1161">
        <v>2.3333333333333335</v>
      </c>
      <c r="DJ18" s="1161">
        <v>0</v>
      </c>
      <c r="DK18" s="245">
        <v>0</v>
      </c>
      <c r="DL18" s="245">
        <v>0</v>
      </c>
      <c r="DM18" s="245">
        <v>0</v>
      </c>
      <c r="DN18" s="412" t="s">
        <v>279</v>
      </c>
      <c r="DO18" s="938"/>
      <c r="DP18" s="853">
        <v>0</v>
      </c>
      <c r="DQ18" s="1161">
        <v>2.3333333333333335</v>
      </c>
      <c r="DR18" s="1161"/>
      <c r="DS18" s="245">
        <v>0</v>
      </c>
      <c r="DT18" s="245">
        <v>0</v>
      </c>
      <c r="DU18" s="245">
        <v>0</v>
      </c>
      <c r="DV18" s="412" t="s">
        <v>279</v>
      </c>
      <c r="DW18" s="938"/>
      <c r="DX18" s="853">
        <v>0</v>
      </c>
      <c r="DY18" s="1161">
        <v>2.3333333333333335</v>
      </c>
      <c r="DZ18" s="1161"/>
      <c r="EA18" s="245">
        <v>0</v>
      </c>
      <c r="EB18" s="245">
        <v>0</v>
      </c>
      <c r="EC18" s="1233">
        <v>0</v>
      </c>
      <c r="ED18" s="1171" t="s">
        <v>279</v>
      </c>
      <c r="EE18" s="1230"/>
      <c r="EF18" s="853">
        <v>0</v>
      </c>
      <c r="EG18" s="245">
        <v>7</v>
      </c>
      <c r="EH18" s="245">
        <v>0</v>
      </c>
      <c r="EI18" s="245">
        <v>0</v>
      </c>
      <c r="EJ18" s="245">
        <v>0</v>
      </c>
      <c r="EK18" s="1233">
        <v>0</v>
      </c>
      <c r="EL18" s="1171" t="s">
        <v>279</v>
      </c>
      <c r="EM18" s="1230"/>
      <c r="EN18" s="853">
        <v>0</v>
      </c>
      <c r="EO18" s="245">
        <v>9.9933333333333341</v>
      </c>
      <c r="EP18" s="245">
        <v>0</v>
      </c>
      <c r="EQ18" s="245">
        <v>0</v>
      </c>
      <c r="ER18" s="245">
        <v>0</v>
      </c>
      <c r="ES18" s="1233">
        <v>0</v>
      </c>
      <c r="ET18" s="1171" t="s">
        <v>279</v>
      </c>
      <c r="EU18" s="1230"/>
      <c r="EV18" s="853">
        <v>0</v>
      </c>
      <c r="EW18" s="245">
        <v>9.9933333333333341</v>
      </c>
      <c r="EX18" s="245">
        <v>0</v>
      </c>
      <c r="EY18" s="245">
        <v>0</v>
      </c>
      <c r="EZ18" s="367">
        <v>0</v>
      </c>
      <c r="FA18" s="368">
        <v>0</v>
      </c>
      <c r="FB18" s="369" t="s">
        <v>279</v>
      </c>
    </row>
    <row r="19" spans="2:158" ht="20.100000000000001" customHeight="1">
      <c r="B19" s="1733"/>
      <c r="C19" s="1737"/>
      <c r="D19" s="178" t="s">
        <v>258</v>
      </c>
      <c r="E19" s="174" t="s">
        <v>12</v>
      </c>
      <c r="F19" s="250">
        <v>15</v>
      </c>
      <c r="G19" s="251">
        <v>15</v>
      </c>
      <c r="H19" s="1229"/>
      <c r="I19" s="449">
        <v>2</v>
      </c>
      <c r="J19" s="313">
        <v>0.67</v>
      </c>
      <c r="K19" s="293">
        <v>0.67</v>
      </c>
      <c r="L19" s="1229"/>
      <c r="M19" s="294">
        <v>2</v>
      </c>
      <c r="N19" s="694">
        <v>3.33</v>
      </c>
      <c r="O19" s="1230"/>
      <c r="P19" s="465">
        <v>0</v>
      </c>
      <c r="Q19" s="1238">
        <v>0</v>
      </c>
      <c r="R19" s="245">
        <v>0</v>
      </c>
      <c r="S19" s="1237"/>
      <c r="T19" s="465">
        <v>0</v>
      </c>
      <c r="U19" s="245">
        <v>0</v>
      </c>
      <c r="V19" s="245">
        <v>0</v>
      </c>
      <c r="W19" s="1237"/>
      <c r="X19" s="465">
        <v>0</v>
      </c>
      <c r="Y19" s="245">
        <v>0</v>
      </c>
      <c r="Z19" s="245">
        <v>0</v>
      </c>
      <c r="AA19" s="1237"/>
      <c r="AB19" s="465">
        <v>0</v>
      </c>
      <c r="AC19" s="245">
        <v>0</v>
      </c>
      <c r="AD19" s="245">
        <v>0</v>
      </c>
      <c r="AE19" s="1237"/>
      <c r="AF19" s="853">
        <v>0</v>
      </c>
      <c r="AG19" s="1169">
        <v>0</v>
      </c>
      <c r="AH19" s="1169">
        <v>0</v>
      </c>
      <c r="AI19" s="245">
        <v>0</v>
      </c>
      <c r="AJ19" s="245">
        <v>0</v>
      </c>
      <c r="AK19" s="245">
        <v>0</v>
      </c>
      <c r="AL19" s="412" t="s">
        <v>279</v>
      </c>
      <c r="AM19" s="1237"/>
      <c r="AN19" s="853">
        <v>0</v>
      </c>
      <c r="AO19" s="1169"/>
      <c r="AP19" s="1169">
        <v>0</v>
      </c>
      <c r="AQ19" s="245">
        <v>0</v>
      </c>
      <c r="AR19" s="245">
        <v>0</v>
      </c>
      <c r="AS19" s="245">
        <v>0</v>
      </c>
      <c r="AT19" s="412" t="s">
        <v>279</v>
      </c>
      <c r="AU19" s="1237"/>
      <c r="AV19" s="853">
        <v>0</v>
      </c>
      <c r="AW19" s="1161">
        <v>0</v>
      </c>
      <c r="AX19" s="1161">
        <v>0</v>
      </c>
      <c r="AY19" s="245">
        <v>0</v>
      </c>
      <c r="AZ19" s="245">
        <v>0</v>
      </c>
      <c r="BA19" s="245">
        <v>0</v>
      </c>
      <c r="BB19" s="412" t="s">
        <v>279</v>
      </c>
      <c r="BC19" s="1237"/>
      <c r="BD19" s="853">
        <v>0</v>
      </c>
      <c r="BE19" s="245">
        <v>0</v>
      </c>
      <c r="BF19" s="245">
        <v>0</v>
      </c>
      <c r="BG19" s="245">
        <v>0</v>
      </c>
      <c r="BH19" s="245">
        <v>0</v>
      </c>
      <c r="BI19" s="245">
        <v>0</v>
      </c>
      <c r="BJ19" s="412" t="s">
        <v>279</v>
      </c>
      <c r="BK19" s="1237"/>
      <c r="BL19" s="853">
        <v>0</v>
      </c>
      <c r="BM19" s="245">
        <v>0</v>
      </c>
      <c r="BN19" s="245">
        <v>0</v>
      </c>
      <c r="BO19" s="245">
        <v>0</v>
      </c>
      <c r="BP19" s="245">
        <v>0</v>
      </c>
      <c r="BQ19" s="245">
        <v>0</v>
      </c>
      <c r="BR19" s="412" t="s">
        <v>279</v>
      </c>
      <c r="BS19" s="1237"/>
      <c r="BT19" s="853">
        <v>0</v>
      </c>
      <c r="BU19" s="1161">
        <v>1</v>
      </c>
      <c r="BV19" s="1161">
        <v>0</v>
      </c>
      <c r="BW19" s="245">
        <v>0</v>
      </c>
      <c r="BX19" s="245">
        <v>0</v>
      </c>
      <c r="BY19" s="245">
        <v>0</v>
      </c>
      <c r="BZ19" s="412" t="s">
        <v>279</v>
      </c>
      <c r="CA19" s="1237"/>
      <c r="CB19" s="853">
        <v>0</v>
      </c>
      <c r="CC19" s="1161">
        <v>0</v>
      </c>
      <c r="CD19" s="1161">
        <v>0</v>
      </c>
      <c r="CE19" s="245">
        <v>0</v>
      </c>
      <c r="CF19" s="245">
        <v>0</v>
      </c>
      <c r="CG19" s="245">
        <v>0</v>
      </c>
      <c r="CH19" s="412" t="s">
        <v>279</v>
      </c>
      <c r="CI19" s="1237"/>
      <c r="CJ19" s="853">
        <v>0</v>
      </c>
      <c r="CK19" s="1161">
        <v>0.37</v>
      </c>
      <c r="CL19" s="1161"/>
      <c r="CM19" s="245">
        <v>0</v>
      </c>
      <c r="CN19" s="245">
        <v>0</v>
      </c>
      <c r="CO19" s="245">
        <v>0</v>
      </c>
      <c r="CP19" s="412" t="s">
        <v>279</v>
      </c>
      <c r="CQ19" s="938"/>
      <c r="CR19" s="853">
        <v>0</v>
      </c>
      <c r="CS19" s="245">
        <v>1.37</v>
      </c>
      <c r="CT19" s="245">
        <v>0</v>
      </c>
      <c r="CU19" s="245">
        <v>0</v>
      </c>
      <c r="CV19" s="245">
        <v>0</v>
      </c>
      <c r="CW19" s="245">
        <v>0</v>
      </c>
      <c r="CX19" s="412" t="s">
        <v>279</v>
      </c>
      <c r="CY19" s="938"/>
      <c r="CZ19" s="853">
        <v>0</v>
      </c>
      <c r="DA19" s="245">
        <v>1.37</v>
      </c>
      <c r="DB19" s="245">
        <v>0</v>
      </c>
      <c r="DC19" s="245">
        <v>0</v>
      </c>
      <c r="DD19" s="245">
        <v>0</v>
      </c>
      <c r="DE19" s="245">
        <v>0</v>
      </c>
      <c r="DF19" s="412" t="s">
        <v>279</v>
      </c>
      <c r="DG19" s="938"/>
      <c r="DH19" s="853">
        <v>0</v>
      </c>
      <c r="DI19" s="1161">
        <v>0.37</v>
      </c>
      <c r="DJ19" s="1161">
        <v>0</v>
      </c>
      <c r="DK19" s="245">
        <v>0</v>
      </c>
      <c r="DL19" s="245">
        <v>0</v>
      </c>
      <c r="DM19" s="245">
        <v>0</v>
      </c>
      <c r="DN19" s="412" t="s">
        <v>279</v>
      </c>
      <c r="DO19" s="938"/>
      <c r="DP19" s="853">
        <v>0</v>
      </c>
      <c r="DQ19" s="1161">
        <v>0.37</v>
      </c>
      <c r="DR19" s="1161"/>
      <c r="DS19" s="245">
        <v>0</v>
      </c>
      <c r="DT19" s="245">
        <v>0</v>
      </c>
      <c r="DU19" s="245">
        <v>0</v>
      </c>
      <c r="DV19" s="412" t="s">
        <v>279</v>
      </c>
      <c r="DW19" s="938"/>
      <c r="DX19" s="853">
        <v>0</v>
      </c>
      <c r="DY19" s="1161">
        <v>0.37</v>
      </c>
      <c r="DZ19" s="1161"/>
      <c r="EA19" s="245">
        <v>0</v>
      </c>
      <c r="EB19" s="245">
        <v>0</v>
      </c>
      <c r="EC19" s="1233">
        <v>0</v>
      </c>
      <c r="ED19" s="1171" t="s">
        <v>279</v>
      </c>
      <c r="EE19" s="1230"/>
      <c r="EF19" s="853">
        <v>0</v>
      </c>
      <c r="EG19" s="245">
        <v>1.1099999999999999</v>
      </c>
      <c r="EH19" s="245">
        <v>0</v>
      </c>
      <c r="EI19" s="245">
        <v>0</v>
      </c>
      <c r="EJ19" s="245">
        <v>0</v>
      </c>
      <c r="EK19" s="1233">
        <v>0</v>
      </c>
      <c r="EL19" s="1171" t="s">
        <v>279</v>
      </c>
      <c r="EM19" s="1230"/>
      <c r="EN19" s="853">
        <v>0</v>
      </c>
      <c r="EO19" s="245">
        <v>2.48</v>
      </c>
      <c r="EP19" s="245">
        <v>0</v>
      </c>
      <c r="EQ19" s="245">
        <v>0</v>
      </c>
      <c r="ER19" s="245">
        <v>0</v>
      </c>
      <c r="ES19" s="1233">
        <v>0</v>
      </c>
      <c r="ET19" s="1171" t="s">
        <v>279</v>
      </c>
      <c r="EU19" s="1230"/>
      <c r="EV19" s="853">
        <v>0</v>
      </c>
      <c r="EW19" s="245">
        <v>2.48</v>
      </c>
      <c r="EX19" s="245">
        <v>0</v>
      </c>
      <c r="EY19" s="245">
        <v>0</v>
      </c>
      <c r="EZ19" s="367">
        <v>0</v>
      </c>
      <c r="FA19" s="368">
        <v>0</v>
      </c>
      <c r="FB19" s="369" t="s">
        <v>279</v>
      </c>
    </row>
    <row r="20" spans="2:158" ht="33.6" customHeight="1">
      <c r="B20" s="1733"/>
      <c r="C20" s="1737"/>
      <c r="D20" s="178" t="s">
        <v>259</v>
      </c>
      <c r="E20" s="174" t="s">
        <v>12</v>
      </c>
      <c r="F20" s="250">
        <v>800</v>
      </c>
      <c r="G20" s="251">
        <v>35</v>
      </c>
      <c r="H20" s="1229"/>
      <c r="I20" s="449">
        <v>80</v>
      </c>
      <c r="J20" s="313">
        <v>0</v>
      </c>
      <c r="K20" s="293">
        <v>0</v>
      </c>
      <c r="L20" s="1229"/>
      <c r="M20" s="294">
        <v>1</v>
      </c>
      <c r="N20" s="694">
        <v>81</v>
      </c>
      <c r="O20" s="1230"/>
      <c r="P20" s="465">
        <v>0</v>
      </c>
      <c r="Q20" s="1238">
        <v>0</v>
      </c>
      <c r="R20" s="245">
        <v>0</v>
      </c>
      <c r="S20" s="1237"/>
      <c r="T20" s="465">
        <v>0</v>
      </c>
      <c r="U20" s="245">
        <v>0</v>
      </c>
      <c r="V20" s="245">
        <v>0</v>
      </c>
      <c r="W20" s="1237"/>
      <c r="X20" s="465">
        <v>0</v>
      </c>
      <c r="Y20" s="245">
        <v>0</v>
      </c>
      <c r="Z20" s="245">
        <v>0</v>
      </c>
      <c r="AA20" s="1237"/>
      <c r="AB20" s="465">
        <v>0</v>
      </c>
      <c r="AC20" s="245">
        <v>0</v>
      </c>
      <c r="AD20" s="245">
        <v>0</v>
      </c>
      <c r="AE20" s="1237"/>
      <c r="AF20" s="853">
        <v>0</v>
      </c>
      <c r="AG20" s="1169">
        <v>0</v>
      </c>
      <c r="AH20" s="1169">
        <v>0</v>
      </c>
      <c r="AI20" s="245">
        <v>0</v>
      </c>
      <c r="AJ20" s="245">
        <v>0</v>
      </c>
      <c r="AK20" s="245">
        <v>0</v>
      </c>
      <c r="AL20" s="412" t="s">
        <v>279</v>
      </c>
      <c r="AM20" s="1237"/>
      <c r="AN20" s="853">
        <v>0</v>
      </c>
      <c r="AO20" s="1169"/>
      <c r="AP20" s="1169">
        <v>0</v>
      </c>
      <c r="AQ20" s="245">
        <v>0</v>
      </c>
      <c r="AR20" s="245">
        <v>0</v>
      </c>
      <c r="AS20" s="245">
        <v>0</v>
      </c>
      <c r="AT20" s="412" t="s">
        <v>279</v>
      </c>
      <c r="AU20" s="1237"/>
      <c r="AV20" s="853">
        <v>0</v>
      </c>
      <c r="AW20" s="1161">
        <v>0</v>
      </c>
      <c r="AX20" s="1161">
        <v>0</v>
      </c>
      <c r="AY20" s="245">
        <v>0</v>
      </c>
      <c r="AZ20" s="245">
        <v>0</v>
      </c>
      <c r="BA20" s="245">
        <v>0</v>
      </c>
      <c r="BB20" s="412" t="s">
        <v>279</v>
      </c>
      <c r="BC20" s="1237"/>
      <c r="BD20" s="853">
        <v>0</v>
      </c>
      <c r="BE20" s="245">
        <v>0</v>
      </c>
      <c r="BF20" s="245">
        <v>0</v>
      </c>
      <c r="BG20" s="245">
        <v>0</v>
      </c>
      <c r="BH20" s="245">
        <v>0</v>
      </c>
      <c r="BI20" s="245">
        <v>0</v>
      </c>
      <c r="BJ20" s="412" t="s">
        <v>279</v>
      </c>
      <c r="BK20" s="1237"/>
      <c r="BL20" s="853">
        <v>0</v>
      </c>
      <c r="BM20" s="245">
        <v>0</v>
      </c>
      <c r="BN20" s="245">
        <v>0</v>
      </c>
      <c r="BO20" s="245">
        <v>0</v>
      </c>
      <c r="BP20" s="245">
        <v>0</v>
      </c>
      <c r="BQ20" s="245">
        <v>0</v>
      </c>
      <c r="BR20" s="412" t="s">
        <v>279</v>
      </c>
      <c r="BS20" s="1237"/>
      <c r="BT20" s="853">
        <v>0</v>
      </c>
      <c r="BU20" s="1161">
        <v>0</v>
      </c>
      <c r="BV20" s="1161">
        <v>0</v>
      </c>
      <c r="BW20" s="245">
        <v>0</v>
      </c>
      <c r="BX20" s="245">
        <v>0</v>
      </c>
      <c r="BY20" s="245">
        <v>0</v>
      </c>
      <c r="BZ20" s="412" t="s">
        <v>279</v>
      </c>
      <c r="CA20" s="1237"/>
      <c r="CB20" s="853">
        <v>0</v>
      </c>
      <c r="CC20" s="1161">
        <v>1</v>
      </c>
      <c r="CD20" s="1161">
        <v>0</v>
      </c>
      <c r="CE20" s="245">
        <v>0</v>
      </c>
      <c r="CF20" s="245">
        <v>0</v>
      </c>
      <c r="CG20" s="245">
        <v>0</v>
      </c>
      <c r="CH20" s="412" t="s">
        <v>279</v>
      </c>
      <c r="CI20" s="1237"/>
      <c r="CJ20" s="853">
        <v>0</v>
      </c>
      <c r="CK20" s="1161">
        <v>9</v>
      </c>
      <c r="CL20" s="1161"/>
      <c r="CM20" s="245">
        <v>0</v>
      </c>
      <c r="CN20" s="245">
        <v>0</v>
      </c>
      <c r="CO20" s="245">
        <v>0</v>
      </c>
      <c r="CP20" s="412" t="s">
        <v>279</v>
      </c>
      <c r="CQ20" s="938"/>
      <c r="CR20" s="853">
        <v>0</v>
      </c>
      <c r="CS20" s="245">
        <v>10</v>
      </c>
      <c r="CT20" s="245">
        <v>0</v>
      </c>
      <c r="CU20" s="245">
        <v>0</v>
      </c>
      <c r="CV20" s="245">
        <v>0</v>
      </c>
      <c r="CW20" s="245">
        <v>0</v>
      </c>
      <c r="CX20" s="412" t="s">
        <v>279</v>
      </c>
      <c r="CY20" s="938"/>
      <c r="CZ20" s="853">
        <v>0</v>
      </c>
      <c r="DA20" s="245">
        <v>10</v>
      </c>
      <c r="DB20" s="245">
        <v>0</v>
      </c>
      <c r="DC20" s="245">
        <v>0</v>
      </c>
      <c r="DD20" s="245">
        <v>0</v>
      </c>
      <c r="DE20" s="245">
        <v>0</v>
      </c>
      <c r="DF20" s="412" t="s">
        <v>279</v>
      </c>
      <c r="DG20" s="938"/>
      <c r="DH20" s="853">
        <v>0</v>
      </c>
      <c r="DI20" s="1161">
        <v>9</v>
      </c>
      <c r="DJ20" s="1161">
        <v>0</v>
      </c>
      <c r="DK20" s="245">
        <v>0</v>
      </c>
      <c r="DL20" s="245">
        <v>0</v>
      </c>
      <c r="DM20" s="245">
        <v>0</v>
      </c>
      <c r="DN20" s="412" t="s">
        <v>279</v>
      </c>
      <c r="DO20" s="938"/>
      <c r="DP20" s="853">
        <v>0</v>
      </c>
      <c r="DQ20" s="1161">
        <v>9</v>
      </c>
      <c r="DR20" s="1161"/>
      <c r="DS20" s="245">
        <v>0</v>
      </c>
      <c r="DT20" s="245">
        <v>0</v>
      </c>
      <c r="DU20" s="245">
        <v>0</v>
      </c>
      <c r="DV20" s="412" t="s">
        <v>279</v>
      </c>
      <c r="DW20" s="938"/>
      <c r="DX20" s="853">
        <v>0</v>
      </c>
      <c r="DY20" s="1161">
        <v>9</v>
      </c>
      <c r="DZ20" s="1161"/>
      <c r="EA20" s="245">
        <v>0</v>
      </c>
      <c r="EB20" s="245">
        <v>0</v>
      </c>
      <c r="EC20" s="1233">
        <v>0</v>
      </c>
      <c r="ED20" s="1171" t="s">
        <v>279</v>
      </c>
      <c r="EE20" s="1230"/>
      <c r="EF20" s="853">
        <v>0</v>
      </c>
      <c r="EG20" s="245">
        <v>27</v>
      </c>
      <c r="EH20" s="245">
        <v>0</v>
      </c>
      <c r="EI20" s="245">
        <v>0</v>
      </c>
      <c r="EJ20" s="245">
        <v>0</v>
      </c>
      <c r="EK20" s="1233">
        <v>0</v>
      </c>
      <c r="EL20" s="1171" t="s">
        <v>279</v>
      </c>
      <c r="EM20" s="1230"/>
      <c r="EN20" s="853">
        <v>0</v>
      </c>
      <c r="EO20" s="245">
        <v>37</v>
      </c>
      <c r="EP20" s="245">
        <v>0</v>
      </c>
      <c r="EQ20" s="245">
        <v>0</v>
      </c>
      <c r="ER20" s="245">
        <v>0</v>
      </c>
      <c r="ES20" s="1233">
        <v>0</v>
      </c>
      <c r="ET20" s="1171" t="s">
        <v>279</v>
      </c>
      <c r="EU20" s="1230"/>
      <c r="EV20" s="853">
        <v>0</v>
      </c>
      <c r="EW20" s="245">
        <v>37</v>
      </c>
      <c r="EX20" s="245">
        <v>0</v>
      </c>
      <c r="EY20" s="245">
        <v>0</v>
      </c>
      <c r="EZ20" s="367">
        <v>0</v>
      </c>
      <c r="FA20" s="368">
        <v>0</v>
      </c>
      <c r="FB20" s="369" t="s">
        <v>279</v>
      </c>
    </row>
    <row r="21" spans="2:158" ht="20.100000000000001" customHeight="1">
      <c r="B21" s="1734"/>
      <c r="C21" s="1738"/>
      <c r="D21" s="179" t="s">
        <v>216</v>
      </c>
      <c r="E21" s="174" t="s">
        <v>12</v>
      </c>
      <c r="F21" s="275">
        <v>15</v>
      </c>
      <c r="G21" s="256">
        <v>25</v>
      </c>
      <c r="H21" s="1229"/>
      <c r="I21" s="449">
        <v>80</v>
      </c>
      <c r="J21" s="313">
        <v>0</v>
      </c>
      <c r="K21" s="293">
        <v>0</v>
      </c>
      <c r="L21" s="1229"/>
      <c r="M21" s="294">
        <v>1</v>
      </c>
      <c r="N21" s="694">
        <v>81</v>
      </c>
      <c r="O21" s="1230"/>
      <c r="P21" s="465">
        <v>0</v>
      </c>
      <c r="Q21" s="1238">
        <v>0</v>
      </c>
      <c r="R21" s="245">
        <v>0</v>
      </c>
      <c r="S21" s="1237"/>
      <c r="T21" s="465">
        <v>0</v>
      </c>
      <c r="U21" s="245">
        <v>0</v>
      </c>
      <c r="V21" s="245">
        <v>0</v>
      </c>
      <c r="W21" s="1237"/>
      <c r="X21" s="465">
        <v>0</v>
      </c>
      <c r="Y21" s="245">
        <v>0</v>
      </c>
      <c r="Z21" s="245">
        <v>0</v>
      </c>
      <c r="AA21" s="1237"/>
      <c r="AB21" s="465">
        <v>0</v>
      </c>
      <c r="AC21" s="245">
        <v>0</v>
      </c>
      <c r="AD21" s="245">
        <v>0</v>
      </c>
      <c r="AE21" s="1237"/>
      <c r="AF21" s="853">
        <v>0</v>
      </c>
      <c r="AG21" s="1169">
        <v>0</v>
      </c>
      <c r="AH21" s="1169">
        <v>0</v>
      </c>
      <c r="AI21" s="245">
        <v>0</v>
      </c>
      <c r="AJ21" s="245">
        <v>0</v>
      </c>
      <c r="AK21" s="245">
        <v>0</v>
      </c>
      <c r="AL21" s="412" t="s">
        <v>279</v>
      </c>
      <c r="AM21" s="1237"/>
      <c r="AN21" s="853">
        <v>0</v>
      </c>
      <c r="AO21" s="1169"/>
      <c r="AP21" s="1169">
        <v>0</v>
      </c>
      <c r="AQ21" s="245">
        <v>0</v>
      </c>
      <c r="AR21" s="245">
        <v>0</v>
      </c>
      <c r="AS21" s="245">
        <v>0</v>
      </c>
      <c r="AT21" s="412" t="s">
        <v>279</v>
      </c>
      <c r="AU21" s="1237"/>
      <c r="AV21" s="853">
        <v>0</v>
      </c>
      <c r="AW21" s="1161">
        <v>0</v>
      </c>
      <c r="AX21" s="1161">
        <v>0</v>
      </c>
      <c r="AY21" s="245">
        <v>0</v>
      </c>
      <c r="AZ21" s="245">
        <v>0</v>
      </c>
      <c r="BA21" s="245">
        <v>0</v>
      </c>
      <c r="BB21" s="412" t="s">
        <v>279</v>
      </c>
      <c r="BC21" s="1237"/>
      <c r="BD21" s="853">
        <v>0</v>
      </c>
      <c r="BE21" s="245">
        <v>0</v>
      </c>
      <c r="BF21" s="245">
        <v>0</v>
      </c>
      <c r="BG21" s="245">
        <v>0</v>
      </c>
      <c r="BH21" s="245">
        <v>0</v>
      </c>
      <c r="BI21" s="245">
        <v>0</v>
      </c>
      <c r="BJ21" s="412" t="s">
        <v>279</v>
      </c>
      <c r="BK21" s="1237"/>
      <c r="BL21" s="853">
        <v>0</v>
      </c>
      <c r="BM21" s="245">
        <v>0</v>
      </c>
      <c r="BN21" s="245">
        <v>0</v>
      </c>
      <c r="BO21" s="245">
        <v>0</v>
      </c>
      <c r="BP21" s="245">
        <v>0</v>
      </c>
      <c r="BQ21" s="245">
        <v>0</v>
      </c>
      <c r="BR21" s="412" t="s">
        <v>279</v>
      </c>
      <c r="BS21" s="1237"/>
      <c r="BT21" s="853">
        <v>0</v>
      </c>
      <c r="BU21" s="1161">
        <v>0</v>
      </c>
      <c r="BV21" s="1161">
        <v>0</v>
      </c>
      <c r="BW21" s="245">
        <v>0</v>
      </c>
      <c r="BX21" s="245">
        <v>0</v>
      </c>
      <c r="BY21" s="245">
        <v>0</v>
      </c>
      <c r="BZ21" s="412" t="s">
        <v>279</v>
      </c>
      <c r="CA21" s="1237"/>
      <c r="CB21" s="853">
        <v>0</v>
      </c>
      <c r="CC21" s="1161">
        <v>1</v>
      </c>
      <c r="CD21" s="1161">
        <v>0</v>
      </c>
      <c r="CE21" s="245">
        <v>0</v>
      </c>
      <c r="CF21" s="245">
        <v>0</v>
      </c>
      <c r="CG21" s="245">
        <v>0</v>
      </c>
      <c r="CH21" s="412" t="s">
        <v>279</v>
      </c>
      <c r="CI21" s="1237"/>
      <c r="CJ21" s="853">
        <v>0</v>
      </c>
      <c r="CK21" s="1161">
        <v>9</v>
      </c>
      <c r="CL21" s="1161"/>
      <c r="CM21" s="245">
        <v>0</v>
      </c>
      <c r="CN21" s="245">
        <v>0</v>
      </c>
      <c r="CO21" s="245">
        <v>0</v>
      </c>
      <c r="CP21" s="412" t="s">
        <v>279</v>
      </c>
      <c r="CQ21" s="938"/>
      <c r="CR21" s="853">
        <v>0</v>
      </c>
      <c r="CS21" s="245">
        <v>10</v>
      </c>
      <c r="CT21" s="245">
        <v>0</v>
      </c>
      <c r="CU21" s="245">
        <v>0</v>
      </c>
      <c r="CV21" s="245">
        <v>0</v>
      </c>
      <c r="CW21" s="245">
        <v>0</v>
      </c>
      <c r="CX21" s="412" t="s">
        <v>279</v>
      </c>
      <c r="CY21" s="938"/>
      <c r="CZ21" s="853">
        <v>0</v>
      </c>
      <c r="DA21" s="245">
        <v>10</v>
      </c>
      <c r="DB21" s="245">
        <v>0</v>
      </c>
      <c r="DC21" s="245">
        <v>0</v>
      </c>
      <c r="DD21" s="245">
        <v>0</v>
      </c>
      <c r="DE21" s="245">
        <v>0</v>
      </c>
      <c r="DF21" s="412" t="s">
        <v>279</v>
      </c>
      <c r="DG21" s="938"/>
      <c r="DH21" s="853">
        <v>0</v>
      </c>
      <c r="DI21" s="1161">
        <v>9</v>
      </c>
      <c r="DJ21" s="1161">
        <v>0</v>
      </c>
      <c r="DK21" s="245">
        <v>0</v>
      </c>
      <c r="DL21" s="245">
        <v>0</v>
      </c>
      <c r="DM21" s="245">
        <v>0</v>
      </c>
      <c r="DN21" s="412" t="s">
        <v>279</v>
      </c>
      <c r="DO21" s="938"/>
      <c r="DP21" s="853">
        <v>0</v>
      </c>
      <c r="DQ21" s="1161">
        <v>9</v>
      </c>
      <c r="DR21" s="1161"/>
      <c r="DS21" s="245">
        <v>0</v>
      </c>
      <c r="DT21" s="245">
        <v>0</v>
      </c>
      <c r="DU21" s="245">
        <v>0</v>
      </c>
      <c r="DV21" s="412" t="s">
        <v>279</v>
      </c>
      <c r="DW21" s="938"/>
      <c r="DX21" s="853">
        <v>0</v>
      </c>
      <c r="DY21" s="1161">
        <v>9</v>
      </c>
      <c r="DZ21" s="1161"/>
      <c r="EA21" s="245">
        <v>0</v>
      </c>
      <c r="EB21" s="245">
        <v>0</v>
      </c>
      <c r="EC21" s="1233">
        <v>0</v>
      </c>
      <c r="ED21" s="1171" t="s">
        <v>279</v>
      </c>
      <c r="EE21" s="1230"/>
      <c r="EF21" s="853">
        <v>0</v>
      </c>
      <c r="EG21" s="245">
        <v>27</v>
      </c>
      <c r="EH21" s="245">
        <v>0</v>
      </c>
      <c r="EI21" s="245">
        <v>0</v>
      </c>
      <c r="EJ21" s="245">
        <v>0</v>
      </c>
      <c r="EK21" s="1233">
        <v>0</v>
      </c>
      <c r="EL21" s="1171" t="s">
        <v>279</v>
      </c>
      <c r="EM21" s="1230"/>
      <c r="EN21" s="853">
        <v>0</v>
      </c>
      <c r="EO21" s="245">
        <v>37</v>
      </c>
      <c r="EP21" s="245">
        <v>0</v>
      </c>
      <c r="EQ21" s="245">
        <v>0</v>
      </c>
      <c r="ER21" s="245">
        <v>0</v>
      </c>
      <c r="ES21" s="1233">
        <v>0</v>
      </c>
      <c r="ET21" s="1171" t="s">
        <v>279</v>
      </c>
      <c r="EU21" s="1230"/>
      <c r="EV21" s="853">
        <v>0</v>
      </c>
      <c r="EW21" s="245">
        <v>37</v>
      </c>
      <c r="EX21" s="245">
        <v>0</v>
      </c>
      <c r="EY21" s="245">
        <v>0</v>
      </c>
      <c r="EZ21" s="367">
        <v>0</v>
      </c>
      <c r="FA21" s="368">
        <v>0</v>
      </c>
      <c r="FB21" s="369" t="s">
        <v>279</v>
      </c>
    </row>
    <row r="22" spans="2:158" ht="20.100000000000001" customHeight="1" thickBot="1">
      <c r="B22" s="1734"/>
      <c r="C22" s="1738"/>
      <c r="D22" s="430" t="s">
        <v>14</v>
      </c>
      <c r="E22" s="180"/>
      <c r="F22" s="255" t="s">
        <v>4</v>
      </c>
      <c r="G22" s="256">
        <v>100</v>
      </c>
      <c r="H22" s="1229"/>
      <c r="I22" s="311"/>
      <c r="J22" s="312"/>
      <c r="K22" s="308">
        <v>4.1280000000000001</v>
      </c>
      <c r="L22" s="1229"/>
      <c r="M22" s="301"/>
      <c r="N22" s="259">
        <v>192.33099999999999</v>
      </c>
      <c r="O22" s="1230"/>
      <c r="P22" s="466"/>
      <c r="Q22" s="860" t="s">
        <v>4</v>
      </c>
      <c r="R22" s="854">
        <v>0.36458333333333331</v>
      </c>
      <c r="S22" s="1237"/>
      <c r="T22" s="466"/>
      <c r="U22" s="490" t="s">
        <v>4</v>
      </c>
      <c r="V22" s="854">
        <v>0.36458333333333331</v>
      </c>
      <c r="W22" s="1237"/>
      <c r="X22" s="466"/>
      <c r="Y22" s="854" t="s">
        <v>4</v>
      </c>
      <c r="Z22" s="854">
        <v>0.39583333333333331</v>
      </c>
      <c r="AA22" s="1237"/>
      <c r="AB22" s="466"/>
      <c r="AC22" s="854" t="s">
        <v>4</v>
      </c>
      <c r="AD22" s="855">
        <v>1.125</v>
      </c>
      <c r="AE22" s="1237"/>
      <c r="AF22" s="970"/>
      <c r="AG22" s="672"/>
      <c r="AH22" s="490" t="s">
        <v>4</v>
      </c>
      <c r="AI22" s="854">
        <v>0</v>
      </c>
      <c r="AJ22" s="490"/>
      <c r="AK22" s="490">
        <v>1.125</v>
      </c>
      <c r="AL22" s="467"/>
      <c r="AM22" s="1237"/>
      <c r="AN22" s="970"/>
      <c r="AO22" s="672"/>
      <c r="AP22" s="490" t="s">
        <v>4</v>
      </c>
      <c r="AQ22" s="854">
        <v>0</v>
      </c>
      <c r="AR22" s="490"/>
      <c r="AS22" s="490">
        <v>1.125</v>
      </c>
      <c r="AT22" s="467"/>
      <c r="AU22" s="1237"/>
      <c r="AV22" s="970"/>
      <c r="AW22" s="672"/>
      <c r="AX22" s="490" t="s">
        <v>4</v>
      </c>
      <c r="AY22" s="854">
        <v>0</v>
      </c>
      <c r="AZ22" s="490"/>
      <c r="BA22" s="490">
        <v>1.125</v>
      </c>
      <c r="BB22" s="467"/>
      <c r="BC22" s="1237"/>
      <c r="BD22" s="970"/>
      <c r="BE22" s="672"/>
      <c r="BF22" s="490" t="s">
        <v>4</v>
      </c>
      <c r="BG22" s="854">
        <v>0</v>
      </c>
      <c r="BH22" s="490"/>
      <c r="BI22" s="490">
        <v>1.125</v>
      </c>
      <c r="BJ22" s="467"/>
      <c r="BK22" s="1237"/>
      <c r="BL22" s="970"/>
      <c r="BM22" s="672"/>
      <c r="BN22" s="490" t="s">
        <v>4</v>
      </c>
      <c r="BO22" s="854">
        <v>1.125</v>
      </c>
      <c r="BP22" s="490"/>
      <c r="BQ22" s="490">
        <v>1.125</v>
      </c>
      <c r="BR22" s="467"/>
      <c r="BS22" s="1237"/>
      <c r="BT22" s="970"/>
      <c r="BU22" s="672"/>
      <c r="BV22" s="490" t="s">
        <v>4</v>
      </c>
      <c r="BW22" s="854">
        <v>0</v>
      </c>
      <c r="BX22" s="490"/>
      <c r="BY22" s="490">
        <v>1.125</v>
      </c>
      <c r="BZ22" s="467"/>
      <c r="CA22" s="1237"/>
      <c r="CB22" s="970"/>
      <c r="CC22" s="672"/>
      <c r="CD22" s="490" t="s">
        <v>4</v>
      </c>
      <c r="CE22" s="854">
        <v>0</v>
      </c>
      <c r="CF22" s="490"/>
      <c r="CG22" s="490">
        <v>1.125</v>
      </c>
      <c r="CH22" s="467"/>
      <c r="CI22" s="1237"/>
      <c r="CJ22" s="970"/>
      <c r="CK22" s="672"/>
      <c r="CL22" s="490" t="s">
        <v>4</v>
      </c>
      <c r="CM22" s="854">
        <v>0</v>
      </c>
      <c r="CN22" s="490"/>
      <c r="CO22" s="490">
        <v>1.125</v>
      </c>
      <c r="CP22" s="467"/>
      <c r="CQ22" s="938"/>
      <c r="CR22" s="970"/>
      <c r="CS22" s="672"/>
      <c r="CT22" s="490" t="s">
        <v>4</v>
      </c>
      <c r="CU22" s="854">
        <v>0</v>
      </c>
      <c r="CV22" s="490"/>
      <c r="CW22" s="490">
        <v>1.125</v>
      </c>
      <c r="CX22" s="467"/>
      <c r="CY22" s="938"/>
      <c r="CZ22" s="970"/>
      <c r="DA22" s="672"/>
      <c r="DB22" s="490" t="s">
        <v>4</v>
      </c>
      <c r="DC22" s="854">
        <v>1.125</v>
      </c>
      <c r="DD22" s="490"/>
      <c r="DE22" s="490">
        <v>1.125</v>
      </c>
      <c r="DF22" s="467"/>
      <c r="DG22" s="938"/>
      <c r="DH22" s="970"/>
      <c r="DI22" s="672"/>
      <c r="DJ22" s="490" t="s">
        <v>4</v>
      </c>
      <c r="DK22" s="854">
        <v>0</v>
      </c>
      <c r="DL22" s="490"/>
      <c r="DM22" s="490">
        <v>1.125</v>
      </c>
      <c r="DN22" s="467"/>
      <c r="DO22" s="938"/>
      <c r="DP22" s="970"/>
      <c r="DQ22" s="672"/>
      <c r="DR22" s="490" t="s">
        <v>4</v>
      </c>
      <c r="DS22" s="854">
        <v>0</v>
      </c>
      <c r="DT22" s="490"/>
      <c r="DU22" s="490">
        <v>1.125</v>
      </c>
      <c r="DV22" s="467"/>
      <c r="DW22" s="938"/>
      <c r="DX22" s="970"/>
      <c r="DY22" s="672"/>
      <c r="DZ22" s="490" t="s">
        <v>4</v>
      </c>
      <c r="EA22" s="854">
        <v>0</v>
      </c>
      <c r="EB22" s="265"/>
      <c r="EC22" s="260">
        <v>1.125</v>
      </c>
      <c r="ED22" s="471"/>
      <c r="EE22" s="1230"/>
      <c r="EF22" s="970"/>
      <c r="EG22" s="672"/>
      <c r="EH22" s="490" t="s">
        <v>4</v>
      </c>
      <c r="EI22" s="259">
        <v>0</v>
      </c>
      <c r="EJ22" s="265"/>
      <c r="EK22" s="260">
        <v>1.125</v>
      </c>
      <c r="EL22" s="471"/>
      <c r="EM22" s="1230"/>
      <c r="EN22" s="970"/>
      <c r="EO22" s="672"/>
      <c r="EP22" s="490" t="s">
        <v>4</v>
      </c>
      <c r="EQ22" s="259">
        <v>0</v>
      </c>
      <c r="ER22" s="265"/>
      <c r="ES22" s="260">
        <v>1.125</v>
      </c>
      <c r="ET22" s="471"/>
      <c r="EU22" s="1230"/>
      <c r="EV22" s="970"/>
      <c r="EW22" s="672"/>
      <c r="EX22" s="265" t="s">
        <v>4</v>
      </c>
      <c r="EY22" s="259">
        <v>1.125</v>
      </c>
      <c r="EZ22" s="370"/>
      <c r="FA22" s="370">
        <v>1.125</v>
      </c>
      <c r="FB22" s="371"/>
    </row>
    <row r="23" spans="2:158" ht="20.100000000000001" customHeight="1">
      <c r="B23" s="1748" t="s">
        <v>21</v>
      </c>
      <c r="C23" s="1750" t="s">
        <v>56</v>
      </c>
      <c r="D23" s="181" t="s">
        <v>209</v>
      </c>
      <c r="E23" s="182" t="s">
        <v>210</v>
      </c>
      <c r="F23" s="239">
        <v>250</v>
      </c>
      <c r="G23" s="240">
        <v>5</v>
      </c>
      <c r="H23" s="1229"/>
      <c r="I23" s="448">
        <v>67.95</v>
      </c>
      <c r="J23" s="313">
        <v>68</v>
      </c>
      <c r="K23" s="288">
        <v>1.36</v>
      </c>
      <c r="L23" s="1229"/>
      <c r="M23" s="844">
        <v>100.1</v>
      </c>
      <c r="N23" s="845">
        <v>100.05000000000001</v>
      </c>
      <c r="O23" s="1230"/>
      <c r="P23" s="852">
        <v>10</v>
      </c>
      <c r="Q23" s="858">
        <v>10.005000000000001</v>
      </c>
      <c r="R23" s="412">
        <v>0.2001</v>
      </c>
      <c r="S23" s="938"/>
      <c r="T23" s="852">
        <v>15</v>
      </c>
      <c r="U23" s="243">
        <v>15.007500000000002</v>
      </c>
      <c r="V23" s="412">
        <v>0.30015000000000003</v>
      </c>
      <c r="W23" s="938"/>
      <c r="X23" s="852">
        <v>15</v>
      </c>
      <c r="Y23" s="243">
        <v>15.007500000000002</v>
      </c>
      <c r="Z23" s="412">
        <v>0.30015000000000003</v>
      </c>
      <c r="AA23" s="938"/>
      <c r="AB23" s="465">
        <v>13.333333333333334</v>
      </c>
      <c r="AC23" s="245">
        <v>13.340000000000002</v>
      </c>
      <c r="AD23" s="245">
        <v>0.26680000000000004</v>
      </c>
      <c r="AE23" s="938"/>
      <c r="AF23" s="853">
        <v>100</v>
      </c>
      <c r="AG23" s="245">
        <v>234.98</v>
      </c>
      <c r="AH23" s="245">
        <v>234.98</v>
      </c>
      <c r="AI23" s="245">
        <v>4.6996000000000002</v>
      </c>
      <c r="AJ23" s="245">
        <v>248.32</v>
      </c>
      <c r="AK23" s="245">
        <v>4.9664000000000001</v>
      </c>
      <c r="AL23" s="411" t="s">
        <v>345</v>
      </c>
      <c r="AM23" s="938"/>
      <c r="AN23" s="853">
        <v>0</v>
      </c>
      <c r="AO23" s="245">
        <v>0</v>
      </c>
      <c r="AP23" s="245">
        <v>0</v>
      </c>
      <c r="AQ23" s="245">
        <v>0</v>
      </c>
      <c r="AR23" s="245">
        <v>248.32</v>
      </c>
      <c r="AS23" s="245">
        <v>4.9664000000000001</v>
      </c>
      <c r="AT23" s="411" t="s">
        <v>345</v>
      </c>
      <c r="AU23" s="938"/>
      <c r="AV23" s="853">
        <v>100</v>
      </c>
      <c r="AW23" s="1161">
        <v>25.069999999999993</v>
      </c>
      <c r="AX23" s="1161">
        <v>25.069999999999993</v>
      </c>
      <c r="AY23" s="245">
        <v>0.50139999999999985</v>
      </c>
      <c r="AZ23" s="245">
        <v>273.39</v>
      </c>
      <c r="BA23" s="245">
        <v>5.4677999999999995</v>
      </c>
      <c r="BB23" s="411" t="s">
        <v>345</v>
      </c>
      <c r="BC23" s="938"/>
      <c r="BD23" s="853">
        <v>100</v>
      </c>
      <c r="BE23" s="245">
        <v>260.04999999999995</v>
      </c>
      <c r="BF23" s="245">
        <v>260.04999999999995</v>
      </c>
      <c r="BG23" s="245">
        <v>5.2009999999999996</v>
      </c>
      <c r="BH23" s="245">
        <v>273.39</v>
      </c>
      <c r="BI23" s="245">
        <v>5.4677999999999995</v>
      </c>
      <c r="BJ23" s="411" t="s">
        <v>345</v>
      </c>
      <c r="BK23" s="938"/>
      <c r="BL23" s="853">
        <v>0</v>
      </c>
      <c r="BM23" s="245"/>
      <c r="BN23" s="245">
        <v>273.38999999999993</v>
      </c>
      <c r="BO23" s="245">
        <v>5.4677999999999987</v>
      </c>
      <c r="BP23" s="245">
        <v>273.39</v>
      </c>
      <c r="BQ23" s="245">
        <v>5.4677999999999995</v>
      </c>
      <c r="BR23" s="411" t="s">
        <v>345</v>
      </c>
      <c r="BS23" s="938"/>
      <c r="BT23" s="853">
        <v>0</v>
      </c>
      <c r="BU23" s="1161">
        <v>0</v>
      </c>
      <c r="BV23" s="1161">
        <v>0</v>
      </c>
      <c r="BW23" s="245">
        <v>0</v>
      </c>
      <c r="BX23" s="245">
        <v>273.39</v>
      </c>
      <c r="BY23" s="245">
        <v>5.4677999999999995</v>
      </c>
      <c r="BZ23" s="411" t="s">
        <v>345</v>
      </c>
      <c r="CA23" s="938"/>
      <c r="CB23" s="853">
        <v>100</v>
      </c>
      <c r="CC23" s="1161">
        <v>100</v>
      </c>
      <c r="CD23" s="1161">
        <v>100</v>
      </c>
      <c r="CE23" s="245">
        <v>2</v>
      </c>
      <c r="CF23" s="245">
        <v>373.39</v>
      </c>
      <c r="CG23" s="245">
        <v>7.4677999999999995</v>
      </c>
      <c r="CH23" s="411" t="s">
        <v>345</v>
      </c>
      <c r="CI23" s="938"/>
      <c r="CJ23" s="853">
        <v>100</v>
      </c>
      <c r="CK23" s="1161">
        <v>100</v>
      </c>
      <c r="CL23" s="1161">
        <v>100</v>
      </c>
      <c r="CM23" s="245">
        <v>2</v>
      </c>
      <c r="CN23" s="245">
        <v>473.39</v>
      </c>
      <c r="CO23" s="245">
        <v>9.4678000000000004</v>
      </c>
      <c r="CP23" s="411" t="s">
        <v>345</v>
      </c>
      <c r="CQ23" s="938"/>
      <c r="CR23" s="853">
        <v>100</v>
      </c>
      <c r="CS23" s="245">
        <v>200</v>
      </c>
      <c r="CT23" s="245">
        <v>200</v>
      </c>
      <c r="CU23" s="245">
        <v>4</v>
      </c>
      <c r="CV23" s="245">
        <v>473.39</v>
      </c>
      <c r="CW23" s="245">
        <v>9.4678000000000004</v>
      </c>
      <c r="CX23" s="411" t="s">
        <v>345</v>
      </c>
      <c r="CY23" s="938"/>
      <c r="CZ23" s="853">
        <v>236.69499999999996</v>
      </c>
      <c r="DA23" s="245">
        <v>200</v>
      </c>
      <c r="DB23" s="245">
        <v>473.38999999999993</v>
      </c>
      <c r="DC23" s="245">
        <v>9.4677999999999987</v>
      </c>
      <c r="DD23" s="245">
        <v>473.39</v>
      </c>
      <c r="DE23" s="245">
        <v>9.4678000000000004</v>
      </c>
      <c r="DF23" s="411" t="s">
        <v>345</v>
      </c>
      <c r="DG23" s="938"/>
      <c r="DH23" s="853">
        <v>100</v>
      </c>
      <c r="DI23" s="1161">
        <v>102.5</v>
      </c>
      <c r="DJ23" s="1161">
        <v>102.5</v>
      </c>
      <c r="DK23" s="245">
        <v>2.0499999999999998</v>
      </c>
      <c r="DL23" s="245">
        <v>575.89</v>
      </c>
      <c r="DM23" s="245">
        <v>11.517799999999999</v>
      </c>
      <c r="DN23" s="411" t="s">
        <v>345</v>
      </c>
      <c r="DO23" s="938"/>
      <c r="DP23" s="853">
        <v>0</v>
      </c>
      <c r="DQ23" s="1161"/>
      <c r="DR23" s="1161"/>
      <c r="DS23" s="245">
        <v>0</v>
      </c>
      <c r="DT23" s="245">
        <v>575.89</v>
      </c>
      <c r="DU23" s="245">
        <v>11.517799999999999</v>
      </c>
      <c r="DV23" s="411" t="s">
        <v>345</v>
      </c>
      <c r="DW23" s="938"/>
      <c r="DX23" s="853">
        <v>0</v>
      </c>
      <c r="DY23" s="1161"/>
      <c r="DZ23" s="1161"/>
      <c r="EA23" s="245">
        <v>0</v>
      </c>
      <c r="EB23" s="245">
        <v>575.89</v>
      </c>
      <c r="EC23" s="1233">
        <v>11.517799999999999</v>
      </c>
      <c r="ED23" s="1168" t="s">
        <v>345</v>
      </c>
      <c r="EE23" s="1230"/>
      <c r="EF23" s="853">
        <v>100</v>
      </c>
      <c r="EG23" s="245">
        <v>102.5</v>
      </c>
      <c r="EH23" s="245">
        <v>102.5</v>
      </c>
      <c r="EI23" s="245">
        <v>2.0499999999999998</v>
      </c>
      <c r="EJ23" s="245">
        <v>575.89</v>
      </c>
      <c r="EK23" s="1233">
        <v>11.517799999999999</v>
      </c>
      <c r="EL23" s="1168" t="s">
        <v>345</v>
      </c>
      <c r="EM23" s="1230"/>
      <c r="EN23" s="853">
        <v>100</v>
      </c>
      <c r="EO23" s="245">
        <v>302.5</v>
      </c>
      <c r="EP23" s="245">
        <v>302.5</v>
      </c>
      <c r="EQ23" s="245">
        <v>6.05</v>
      </c>
      <c r="ER23" s="245">
        <v>575.89</v>
      </c>
      <c r="ES23" s="1233">
        <v>11.517799999999999</v>
      </c>
      <c r="ET23" s="1168" t="s">
        <v>345</v>
      </c>
      <c r="EU23" s="1230"/>
      <c r="EV23" s="853">
        <v>190.3768595041322</v>
      </c>
      <c r="EW23" s="245">
        <v>302.5</v>
      </c>
      <c r="EX23" s="245">
        <v>575.88999999999987</v>
      </c>
      <c r="EY23" s="245">
        <v>11.517799999999998</v>
      </c>
      <c r="EZ23" s="367">
        <v>575.89</v>
      </c>
      <c r="FA23" s="368">
        <v>11.517799999999999</v>
      </c>
      <c r="FB23" s="372" t="s">
        <v>345</v>
      </c>
    </row>
    <row r="24" spans="2:158" ht="20.100000000000001" customHeight="1">
      <c r="B24" s="1733"/>
      <c r="C24" s="1737"/>
      <c r="D24" s="178" t="s">
        <v>203</v>
      </c>
      <c r="E24" s="174" t="s">
        <v>210</v>
      </c>
      <c r="F24" s="268">
        <v>250</v>
      </c>
      <c r="G24" s="251">
        <v>10</v>
      </c>
      <c r="H24" s="1229"/>
      <c r="I24" s="449">
        <v>67.95</v>
      </c>
      <c r="J24" s="313">
        <v>37.5</v>
      </c>
      <c r="K24" s="293">
        <v>1.5</v>
      </c>
      <c r="L24" s="1229"/>
      <c r="M24" s="846">
        <v>100.1</v>
      </c>
      <c r="N24" s="847">
        <v>130.55000000000001</v>
      </c>
      <c r="O24" s="1230"/>
      <c r="P24" s="465">
        <v>25</v>
      </c>
      <c r="Q24" s="859">
        <v>32.637500000000003</v>
      </c>
      <c r="R24" s="412">
        <v>1.3054999999999999</v>
      </c>
      <c r="S24" s="938"/>
      <c r="T24" s="465">
        <v>30</v>
      </c>
      <c r="U24" s="245">
        <v>39.165000000000006</v>
      </c>
      <c r="V24" s="412">
        <v>1.5666000000000002</v>
      </c>
      <c r="W24" s="938"/>
      <c r="X24" s="465">
        <v>35</v>
      </c>
      <c r="Y24" s="245">
        <v>45.692500000000003</v>
      </c>
      <c r="Z24" s="412">
        <v>1.8277000000000001</v>
      </c>
      <c r="AA24" s="938"/>
      <c r="AB24" s="465">
        <v>30</v>
      </c>
      <c r="AC24" s="245">
        <v>39.165000000000006</v>
      </c>
      <c r="AD24" s="245">
        <v>1.5666000000000002</v>
      </c>
      <c r="AE24" s="938"/>
      <c r="AF24" s="853">
        <v>0</v>
      </c>
      <c r="AG24" s="245">
        <v>0</v>
      </c>
      <c r="AH24" s="245">
        <v>0</v>
      </c>
      <c r="AI24" s="245">
        <v>0</v>
      </c>
      <c r="AJ24" s="245">
        <v>39.165000000000006</v>
      </c>
      <c r="AK24" s="245">
        <v>1.5666000000000002</v>
      </c>
      <c r="AL24" s="412" t="s">
        <v>345</v>
      </c>
      <c r="AM24" s="938"/>
      <c r="AN24" s="853">
        <v>0</v>
      </c>
      <c r="AO24" s="245">
        <v>0</v>
      </c>
      <c r="AP24" s="245">
        <v>0</v>
      </c>
      <c r="AQ24" s="245">
        <v>0</v>
      </c>
      <c r="AR24" s="245">
        <v>39.165000000000006</v>
      </c>
      <c r="AS24" s="245">
        <v>1.5666000000000002</v>
      </c>
      <c r="AT24" s="412" t="s">
        <v>345</v>
      </c>
      <c r="AU24" s="938"/>
      <c r="AV24" s="853">
        <v>100</v>
      </c>
      <c r="AW24" s="1161">
        <v>30.954999999999998</v>
      </c>
      <c r="AX24" s="1161">
        <v>30.954999999999998</v>
      </c>
      <c r="AY24" s="245">
        <v>1.2382</v>
      </c>
      <c r="AZ24" s="245">
        <v>70.12</v>
      </c>
      <c r="BA24" s="245">
        <v>2.8048000000000002</v>
      </c>
      <c r="BB24" s="412" t="s">
        <v>345</v>
      </c>
      <c r="BC24" s="938"/>
      <c r="BD24" s="853">
        <v>100</v>
      </c>
      <c r="BE24" s="245">
        <v>30.954999999999998</v>
      </c>
      <c r="BF24" s="245">
        <v>30.954999999999998</v>
      </c>
      <c r="BG24" s="245">
        <v>1.2382</v>
      </c>
      <c r="BH24" s="245">
        <v>70.12</v>
      </c>
      <c r="BI24" s="245">
        <v>2.8048000000000002</v>
      </c>
      <c r="BJ24" s="412" t="s">
        <v>345</v>
      </c>
      <c r="BK24" s="938"/>
      <c r="BL24" s="853">
        <v>0</v>
      </c>
      <c r="BM24" s="245"/>
      <c r="BN24" s="245">
        <v>70.12</v>
      </c>
      <c r="BO24" s="245">
        <v>2.8048000000000002</v>
      </c>
      <c r="BP24" s="245">
        <v>70.12</v>
      </c>
      <c r="BQ24" s="245">
        <v>2.8048000000000002</v>
      </c>
      <c r="BR24" s="412" t="s">
        <v>345</v>
      </c>
      <c r="BS24" s="938"/>
      <c r="BT24" s="853">
        <v>100</v>
      </c>
      <c r="BU24" s="1161">
        <v>60.461999999999996</v>
      </c>
      <c r="BV24" s="1161">
        <v>60.461999999999996</v>
      </c>
      <c r="BW24" s="245">
        <v>2.4184799999999997</v>
      </c>
      <c r="BX24" s="245">
        <v>130.58199999999999</v>
      </c>
      <c r="BY24" s="245">
        <v>5.2232799999999999</v>
      </c>
      <c r="BZ24" s="412" t="s">
        <v>345</v>
      </c>
      <c r="CA24" s="938"/>
      <c r="CB24" s="853">
        <v>100</v>
      </c>
      <c r="CC24" s="1161">
        <v>60</v>
      </c>
      <c r="CD24" s="1161">
        <v>60</v>
      </c>
      <c r="CE24" s="245">
        <v>2.4</v>
      </c>
      <c r="CF24" s="245">
        <v>190.58199999999999</v>
      </c>
      <c r="CG24" s="245">
        <v>7.6232800000000003</v>
      </c>
      <c r="CH24" s="412" t="s">
        <v>345</v>
      </c>
      <c r="CI24" s="938"/>
      <c r="CJ24" s="853">
        <v>100</v>
      </c>
      <c r="CK24" s="1161">
        <v>10</v>
      </c>
      <c r="CL24" s="1161">
        <v>10</v>
      </c>
      <c r="CM24" s="245">
        <v>0.4</v>
      </c>
      <c r="CN24" s="245">
        <v>200.58199999999999</v>
      </c>
      <c r="CO24" s="245">
        <v>8.0232799999999997</v>
      </c>
      <c r="CP24" s="412" t="s">
        <v>345</v>
      </c>
      <c r="CQ24" s="938"/>
      <c r="CR24" s="853">
        <v>100</v>
      </c>
      <c r="CS24" s="245">
        <v>130.46199999999999</v>
      </c>
      <c r="CT24" s="245">
        <v>130.46199999999999</v>
      </c>
      <c r="CU24" s="245">
        <v>5.2184799999999996</v>
      </c>
      <c r="CV24" s="245">
        <v>200.58199999999999</v>
      </c>
      <c r="CW24" s="245">
        <v>8.0232799999999997</v>
      </c>
      <c r="CX24" s="412" t="s">
        <v>345</v>
      </c>
      <c r="CY24" s="938"/>
      <c r="CZ24" s="853">
        <v>153.74745136514849</v>
      </c>
      <c r="DA24" s="245">
        <v>130.46199999999999</v>
      </c>
      <c r="DB24" s="245">
        <v>200.58199999999999</v>
      </c>
      <c r="DC24" s="245">
        <v>8.0232799999999997</v>
      </c>
      <c r="DD24" s="245">
        <v>200.58199999999999</v>
      </c>
      <c r="DE24" s="245">
        <v>8.0232799999999997</v>
      </c>
      <c r="DF24" s="412" t="s">
        <v>345</v>
      </c>
      <c r="DG24" s="938"/>
      <c r="DH24" s="853">
        <v>100.01133333333334</v>
      </c>
      <c r="DI24" s="1161">
        <v>75</v>
      </c>
      <c r="DJ24" s="1161">
        <v>75.008499999999998</v>
      </c>
      <c r="DK24" s="245">
        <v>3.00034</v>
      </c>
      <c r="DL24" s="245">
        <v>275.59050000000002</v>
      </c>
      <c r="DM24" s="245">
        <v>11.023620000000001</v>
      </c>
      <c r="DN24" s="412" t="s">
        <v>345</v>
      </c>
      <c r="DO24" s="938"/>
      <c r="DP24" s="853">
        <v>0</v>
      </c>
      <c r="DQ24" s="1161"/>
      <c r="DR24" s="1161"/>
      <c r="DS24" s="245">
        <v>0</v>
      </c>
      <c r="DT24" s="245">
        <v>275.59050000000002</v>
      </c>
      <c r="DU24" s="245">
        <v>11.023620000000001</v>
      </c>
      <c r="DV24" s="412" t="s">
        <v>345</v>
      </c>
      <c r="DW24" s="938"/>
      <c r="DX24" s="853">
        <v>0</v>
      </c>
      <c r="DY24" s="1161"/>
      <c r="DZ24" s="1161"/>
      <c r="EA24" s="245">
        <v>0</v>
      </c>
      <c r="EB24" s="245">
        <v>275.59050000000002</v>
      </c>
      <c r="EC24" s="1233">
        <v>11.023620000000001</v>
      </c>
      <c r="ED24" s="1171" t="s">
        <v>345</v>
      </c>
      <c r="EE24" s="1230"/>
      <c r="EF24" s="853">
        <v>100.01133333333334</v>
      </c>
      <c r="EG24" s="245">
        <v>75</v>
      </c>
      <c r="EH24" s="245">
        <v>75.008499999999998</v>
      </c>
      <c r="EI24" s="245">
        <v>3.00034</v>
      </c>
      <c r="EJ24" s="245">
        <v>275.59050000000002</v>
      </c>
      <c r="EK24" s="1233">
        <v>11.023620000000001</v>
      </c>
      <c r="EL24" s="1171" t="s">
        <v>345</v>
      </c>
      <c r="EM24" s="1230"/>
      <c r="EN24" s="853">
        <v>100.00413701803738</v>
      </c>
      <c r="EO24" s="245">
        <v>205.46199999999999</v>
      </c>
      <c r="EP24" s="245">
        <v>205.47049999999999</v>
      </c>
      <c r="EQ24" s="245">
        <v>8.2188199999999991</v>
      </c>
      <c r="ER24" s="245">
        <v>275.59050000000002</v>
      </c>
      <c r="ES24" s="1233">
        <v>11.023620000000001</v>
      </c>
      <c r="ET24" s="1171" t="s">
        <v>345</v>
      </c>
      <c r="EU24" s="1230"/>
      <c r="EV24" s="853">
        <v>134.13210228655421</v>
      </c>
      <c r="EW24" s="245">
        <v>205.46199999999999</v>
      </c>
      <c r="EX24" s="245">
        <v>275.59050000000002</v>
      </c>
      <c r="EY24" s="245">
        <v>11.023620000000001</v>
      </c>
      <c r="EZ24" s="367">
        <v>275.59050000000002</v>
      </c>
      <c r="FA24" s="368">
        <v>11.023620000000001</v>
      </c>
      <c r="FB24" s="369" t="s">
        <v>345</v>
      </c>
    </row>
    <row r="25" spans="2:158" ht="20.100000000000001" customHeight="1">
      <c r="B25" s="1733"/>
      <c r="C25" s="1737"/>
      <c r="D25" s="178" t="s">
        <v>211</v>
      </c>
      <c r="E25" s="174" t="s">
        <v>210</v>
      </c>
      <c r="F25" s="250">
        <v>250</v>
      </c>
      <c r="G25" s="251">
        <v>10</v>
      </c>
      <c r="H25" s="1229"/>
      <c r="I25" s="449">
        <v>67.95</v>
      </c>
      <c r="J25" s="313">
        <v>71</v>
      </c>
      <c r="K25" s="293">
        <v>2.84</v>
      </c>
      <c r="L25" s="1229"/>
      <c r="M25" s="846">
        <v>100.1</v>
      </c>
      <c r="N25" s="847">
        <v>97.050000000000011</v>
      </c>
      <c r="O25" s="1234"/>
      <c r="P25" s="465">
        <v>1</v>
      </c>
      <c r="Q25" s="859">
        <v>0.97050000000000014</v>
      </c>
      <c r="R25" s="412">
        <v>3.8820000000000007E-2</v>
      </c>
      <c r="S25" s="938"/>
      <c r="T25" s="465">
        <v>7.5</v>
      </c>
      <c r="U25" s="245">
        <v>7.2787500000000014</v>
      </c>
      <c r="V25" s="412">
        <v>0.29115000000000008</v>
      </c>
      <c r="W25" s="938"/>
      <c r="X25" s="465">
        <v>9</v>
      </c>
      <c r="Y25" s="245">
        <v>8.7345000000000006</v>
      </c>
      <c r="Z25" s="412">
        <v>0.34938000000000002</v>
      </c>
      <c r="AA25" s="938"/>
      <c r="AB25" s="465">
        <v>5.833333333333333</v>
      </c>
      <c r="AC25" s="245">
        <v>5.6612499999999999</v>
      </c>
      <c r="AD25" s="245">
        <v>0.22645000000000001</v>
      </c>
      <c r="AE25" s="938"/>
      <c r="AF25" s="853">
        <v>100</v>
      </c>
      <c r="AG25" s="245">
        <v>30</v>
      </c>
      <c r="AH25" s="245">
        <v>30</v>
      </c>
      <c r="AI25" s="245">
        <v>1.2</v>
      </c>
      <c r="AJ25" s="245">
        <v>35.661250000000003</v>
      </c>
      <c r="AK25" s="245">
        <v>1.4264500000000002</v>
      </c>
      <c r="AL25" s="412" t="s">
        <v>345</v>
      </c>
      <c r="AM25" s="938"/>
      <c r="AN25" s="853">
        <v>100</v>
      </c>
      <c r="AO25" s="245">
        <v>24.02</v>
      </c>
      <c r="AP25" s="245">
        <v>24.02</v>
      </c>
      <c r="AQ25" s="245">
        <v>0.96079999999999999</v>
      </c>
      <c r="AR25" s="245">
        <v>59.681250000000006</v>
      </c>
      <c r="AS25" s="245">
        <v>2.3872500000000003</v>
      </c>
      <c r="AT25" s="412" t="s">
        <v>345</v>
      </c>
      <c r="AU25" s="938"/>
      <c r="AV25" s="853">
        <v>100</v>
      </c>
      <c r="AW25" s="1161">
        <v>10.43875000000001</v>
      </c>
      <c r="AX25" s="1161">
        <v>10.43875000000001</v>
      </c>
      <c r="AY25" s="245">
        <v>0.41755000000000037</v>
      </c>
      <c r="AZ25" s="245">
        <v>70.120000000000019</v>
      </c>
      <c r="BA25" s="245">
        <v>2.8048000000000006</v>
      </c>
      <c r="BB25" s="412" t="s">
        <v>345</v>
      </c>
      <c r="BC25" s="938"/>
      <c r="BD25" s="853">
        <v>100</v>
      </c>
      <c r="BE25" s="245">
        <v>64.458750000000009</v>
      </c>
      <c r="BF25" s="245">
        <v>64.458750000000009</v>
      </c>
      <c r="BG25" s="245">
        <v>2.5783500000000004</v>
      </c>
      <c r="BH25" s="245">
        <v>70.120000000000019</v>
      </c>
      <c r="BI25" s="245">
        <v>2.8048000000000006</v>
      </c>
      <c r="BJ25" s="412" t="s">
        <v>345</v>
      </c>
      <c r="BK25" s="938"/>
      <c r="BL25" s="853">
        <v>0</v>
      </c>
      <c r="BM25" s="245"/>
      <c r="BN25" s="245">
        <v>70.12</v>
      </c>
      <c r="BO25" s="245">
        <v>2.8048000000000002</v>
      </c>
      <c r="BP25" s="245">
        <v>70.120000000000019</v>
      </c>
      <c r="BQ25" s="245">
        <v>2.8048000000000006</v>
      </c>
      <c r="BR25" s="412" t="s">
        <v>345</v>
      </c>
      <c r="BS25" s="938"/>
      <c r="BT25" s="853">
        <v>100</v>
      </c>
      <c r="BU25" s="1161">
        <v>30.230999999999998</v>
      </c>
      <c r="BV25" s="1161">
        <v>30.230999999999998</v>
      </c>
      <c r="BW25" s="245">
        <v>1.2092399999999999</v>
      </c>
      <c r="BX25" s="245">
        <v>100.35100000000001</v>
      </c>
      <c r="BY25" s="245">
        <v>4.0140400000000005</v>
      </c>
      <c r="BZ25" s="412" t="s">
        <v>345</v>
      </c>
      <c r="CA25" s="938"/>
      <c r="CB25" s="853">
        <v>100</v>
      </c>
      <c r="CC25" s="1161">
        <v>60</v>
      </c>
      <c r="CD25" s="1161">
        <v>60</v>
      </c>
      <c r="CE25" s="245">
        <v>2.4</v>
      </c>
      <c r="CF25" s="245">
        <v>160.351</v>
      </c>
      <c r="CG25" s="245">
        <v>6.41404</v>
      </c>
      <c r="CH25" s="412" t="s">
        <v>345</v>
      </c>
      <c r="CI25" s="938"/>
      <c r="CJ25" s="853">
        <v>100</v>
      </c>
      <c r="CK25" s="1161">
        <v>20</v>
      </c>
      <c r="CL25" s="1161">
        <v>20</v>
      </c>
      <c r="CM25" s="245">
        <v>0.8</v>
      </c>
      <c r="CN25" s="245">
        <v>180.351</v>
      </c>
      <c r="CO25" s="245">
        <v>7.2140399999999998</v>
      </c>
      <c r="CP25" s="412" t="s">
        <v>345</v>
      </c>
      <c r="CQ25" s="938"/>
      <c r="CR25" s="853">
        <v>100</v>
      </c>
      <c r="CS25" s="245">
        <v>110.23099999999999</v>
      </c>
      <c r="CT25" s="245">
        <v>110.23099999999999</v>
      </c>
      <c r="CU25" s="245">
        <v>4.4092399999999996</v>
      </c>
      <c r="CV25" s="245">
        <v>180.351</v>
      </c>
      <c r="CW25" s="245">
        <v>7.2140399999999998</v>
      </c>
      <c r="CX25" s="412" t="s">
        <v>345</v>
      </c>
      <c r="CY25" s="938"/>
      <c r="CZ25" s="853">
        <v>163.61186961925412</v>
      </c>
      <c r="DA25" s="245">
        <v>110.23099999999999</v>
      </c>
      <c r="DB25" s="245">
        <v>180.351</v>
      </c>
      <c r="DC25" s="245">
        <v>7.2140399999999998</v>
      </c>
      <c r="DD25" s="245">
        <v>180.351</v>
      </c>
      <c r="DE25" s="245">
        <v>7.2140399999999998</v>
      </c>
      <c r="DF25" s="412" t="s">
        <v>345</v>
      </c>
      <c r="DG25" s="938"/>
      <c r="DH25" s="853">
        <v>100.01285714285714</v>
      </c>
      <c r="DI25" s="1161">
        <v>70</v>
      </c>
      <c r="DJ25" s="1161">
        <v>70.009</v>
      </c>
      <c r="DK25" s="245">
        <v>2.80036</v>
      </c>
      <c r="DL25" s="245">
        <v>250.36</v>
      </c>
      <c r="DM25" s="245">
        <v>10.0144</v>
      </c>
      <c r="DN25" s="412" t="s">
        <v>345</v>
      </c>
      <c r="DO25" s="938"/>
      <c r="DP25" s="853">
        <v>0</v>
      </c>
      <c r="DQ25" s="1161"/>
      <c r="DR25" s="1161"/>
      <c r="DS25" s="245">
        <v>0</v>
      </c>
      <c r="DT25" s="245">
        <v>250.36</v>
      </c>
      <c r="DU25" s="245">
        <v>10.0144</v>
      </c>
      <c r="DV25" s="412" t="s">
        <v>345</v>
      </c>
      <c r="DW25" s="938"/>
      <c r="DX25" s="853">
        <v>0</v>
      </c>
      <c r="DY25" s="1161"/>
      <c r="DZ25" s="1161"/>
      <c r="EA25" s="245">
        <v>0</v>
      </c>
      <c r="EB25" s="245">
        <v>250.36</v>
      </c>
      <c r="EC25" s="1233">
        <v>10.0144</v>
      </c>
      <c r="ED25" s="1171" t="s">
        <v>345</v>
      </c>
      <c r="EE25" s="1230"/>
      <c r="EF25" s="853">
        <v>100.01285714285714</v>
      </c>
      <c r="EG25" s="245">
        <v>70</v>
      </c>
      <c r="EH25" s="245">
        <v>70.009</v>
      </c>
      <c r="EI25" s="245">
        <v>2.80036</v>
      </c>
      <c r="EJ25" s="245">
        <v>250.36</v>
      </c>
      <c r="EK25" s="1233">
        <v>10.0144</v>
      </c>
      <c r="EL25" s="1171" t="s">
        <v>345</v>
      </c>
      <c r="EM25" s="1230"/>
      <c r="EN25" s="853">
        <v>100.00499359155751</v>
      </c>
      <c r="EO25" s="245">
        <v>180.23099999999999</v>
      </c>
      <c r="EP25" s="245">
        <v>180.24</v>
      </c>
      <c r="EQ25" s="245">
        <v>7.2096000000000009</v>
      </c>
      <c r="ER25" s="245">
        <v>250.36</v>
      </c>
      <c r="ES25" s="1233">
        <v>10.0144</v>
      </c>
      <c r="ET25" s="1171" t="s">
        <v>345</v>
      </c>
      <c r="EU25" s="1230"/>
      <c r="EV25" s="853">
        <v>138.9106202595558</v>
      </c>
      <c r="EW25" s="245">
        <v>180.23099999999999</v>
      </c>
      <c r="EX25" s="245">
        <v>250.36</v>
      </c>
      <c r="EY25" s="245">
        <v>10.0144</v>
      </c>
      <c r="EZ25" s="367">
        <v>250.36</v>
      </c>
      <c r="FA25" s="368">
        <v>10.0144</v>
      </c>
      <c r="FB25" s="369" t="s">
        <v>345</v>
      </c>
    </row>
    <row r="26" spans="2:158" ht="20.100000000000001" customHeight="1">
      <c r="B26" s="1733"/>
      <c r="C26" s="1737"/>
      <c r="D26" s="178" t="s">
        <v>212</v>
      </c>
      <c r="E26" s="174" t="s">
        <v>210</v>
      </c>
      <c r="F26" s="250">
        <v>250</v>
      </c>
      <c r="G26" s="251">
        <v>20</v>
      </c>
      <c r="H26" s="1229"/>
      <c r="I26" s="449">
        <v>36.5</v>
      </c>
      <c r="J26" s="313">
        <v>68.75</v>
      </c>
      <c r="K26" s="293">
        <v>5.5</v>
      </c>
      <c r="L26" s="1229"/>
      <c r="M26" s="846">
        <v>100.1</v>
      </c>
      <c r="N26" s="847">
        <v>67.849999999999994</v>
      </c>
      <c r="O26" s="1234"/>
      <c r="P26" s="465">
        <v>2.5</v>
      </c>
      <c r="Q26" s="859">
        <v>1.69625</v>
      </c>
      <c r="R26" s="412">
        <v>0.13570000000000002</v>
      </c>
      <c r="S26" s="938"/>
      <c r="T26" s="465">
        <v>5</v>
      </c>
      <c r="U26" s="245">
        <v>3.3925000000000001</v>
      </c>
      <c r="V26" s="412">
        <v>0.27140000000000003</v>
      </c>
      <c r="W26" s="938"/>
      <c r="X26" s="465">
        <v>6</v>
      </c>
      <c r="Y26" s="245">
        <v>4.0709999999999997</v>
      </c>
      <c r="Z26" s="412">
        <v>0.32567999999999997</v>
      </c>
      <c r="AA26" s="938"/>
      <c r="AB26" s="465">
        <v>4.5</v>
      </c>
      <c r="AC26" s="245">
        <v>3.0532499999999998</v>
      </c>
      <c r="AD26" s="245">
        <v>0.24425999999999998</v>
      </c>
      <c r="AE26" s="938"/>
      <c r="AF26" s="853">
        <v>100</v>
      </c>
      <c r="AG26" s="245">
        <v>30</v>
      </c>
      <c r="AH26" s="245">
        <v>30</v>
      </c>
      <c r="AI26" s="245">
        <v>2.4</v>
      </c>
      <c r="AJ26" s="245">
        <v>33.053249999999998</v>
      </c>
      <c r="AK26" s="245">
        <v>2.6442600000000001</v>
      </c>
      <c r="AL26" s="412" t="s">
        <v>345</v>
      </c>
      <c r="AM26" s="938"/>
      <c r="AN26" s="853">
        <v>100</v>
      </c>
      <c r="AO26" s="245">
        <v>31.84</v>
      </c>
      <c r="AP26" s="245">
        <v>31.84</v>
      </c>
      <c r="AQ26" s="245">
        <v>2.5472000000000001</v>
      </c>
      <c r="AR26" s="245">
        <v>64.893249999999995</v>
      </c>
      <c r="AS26" s="245">
        <v>5.1914599999999993</v>
      </c>
      <c r="AT26" s="412" t="s">
        <v>345</v>
      </c>
      <c r="AU26" s="938"/>
      <c r="AV26" s="853">
        <v>100</v>
      </c>
      <c r="AW26" s="1161">
        <v>5.2267499999999991</v>
      </c>
      <c r="AX26" s="1161">
        <v>5.2267499999999991</v>
      </c>
      <c r="AY26" s="245">
        <v>0.41813999999999996</v>
      </c>
      <c r="AZ26" s="245">
        <v>70.11999999999999</v>
      </c>
      <c r="BA26" s="245">
        <v>5.6095999999999995</v>
      </c>
      <c r="BB26" s="412" t="s">
        <v>345</v>
      </c>
      <c r="BC26" s="938"/>
      <c r="BD26" s="853">
        <v>100</v>
      </c>
      <c r="BE26" s="245">
        <v>67.066749999999999</v>
      </c>
      <c r="BF26" s="245">
        <v>67.066749999999999</v>
      </c>
      <c r="BG26" s="245">
        <v>5.3653399999999998</v>
      </c>
      <c r="BH26" s="245">
        <v>70.11999999999999</v>
      </c>
      <c r="BI26" s="245">
        <v>5.6095999999999995</v>
      </c>
      <c r="BJ26" s="412" t="s">
        <v>345</v>
      </c>
      <c r="BK26" s="938"/>
      <c r="BL26" s="853">
        <v>0</v>
      </c>
      <c r="BM26" s="245"/>
      <c r="BN26" s="245">
        <v>70.12</v>
      </c>
      <c r="BO26" s="245">
        <v>5.6096000000000004</v>
      </c>
      <c r="BP26" s="245">
        <v>70.11999999999999</v>
      </c>
      <c r="BQ26" s="245">
        <v>5.6095999999999995</v>
      </c>
      <c r="BR26" s="412" t="s">
        <v>345</v>
      </c>
      <c r="BS26" s="938"/>
      <c r="BT26" s="853">
        <v>0</v>
      </c>
      <c r="BU26" s="1161">
        <v>0</v>
      </c>
      <c r="BV26" s="1161">
        <v>0</v>
      </c>
      <c r="BW26" s="245">
        <v>0</v>
      </c>
      <c r="BX26" s="245">
        <v>70.11999999999999</v>
      </c>
      <c r="BY26" s="245">
        <v>5.6095999999999995</v>
      </c>
      <c r="BZ26" s="412" t="s">
        <v>345</v>
      </c>
      <c r="CA26" s="938"/>
      <c r="CB26" s="853">
        <v>100</v>
      </c>
      <c r="CC26" s="1161">
        <v>4</v>
      </c>
      <c r="CD26" s="1161">
        <v>4</v>
      </c>
      <c r="CE26" s="245">
        <v>0.32</v>
      </c>
      <c r="CF26" s="245">
        <v>74.11999999999999</v>
      </c>
      <c r="CG26" s="245">
        <v>5.9295999999999998</v>
      </c>
      <c r="CH26" s="412" t="s">
        <v>345</v>
      </c>
      <c r="CI26" s="938"/>
      <c r="CJ26" s="853">
        <v>103.33333333333334</v>
      </c>
      <c r="CK26" s="1161">
        <v>30</v>
      </c>
      <c r="CL26" s="1161">
        <v>31</v>
      </c>
      <c r="CM26" s="245">
        <v>2.48</v>
      </c>
      <c r="CN26" s="245">
        <v>105.11999999999999</v>
      </c>
      <c r="CO26" s="245">
        <v>8.4095999999999993</v>
      </c>
      <c r="CP26" s="412" t="s">
        <v>345</v>
      </c>
      <c r="CQ26" s="938"/>
      <c r="CR26" s="853">
        <v>102.94117647058823</v>
      </c>
      <c r="CS26" s="245">
        <v>34</v>
      </c>
      <c r="CT26" s="245">
        <v>35</v>
      </c>
      <c r="CU26" s="245">
        <v>2.8000000000000003</v>
      </c>
      <c r="CV26" s="245">
        <v>105.11999999999999</v>
      </c>
      <c r="CW26" s="245">
        <v>8.4095999999999993</v>
      </c>
      <c r="CX26" s="412" t="s">
        <v>345</v>
      </c>
      <c r="CY26" s="938"/>
      <c r="CZ26" s="853">
        <v>309.1764705882353</v>
      </c>
      <c r="DA26" s="245">
        <v>34</v>
      </c>
      <c r="DB26" s="245">
        <v>105.12</v>
      </c>
      <c r="DC26" s="245">
        <v>8.4096000000000011</v>
      </c>
      <c r="DD26" s="245">
        <v>105.11999999999999</v>
      </c>
      <c r="DE26" s="245">
        <v>8.4095999999999993</v>
      </c>
      <c r="DF26" s="412" t="s">
        <v>345</v>
      </c>
      <c r="DG26" s="938"/>
      <c r="DH26" s="853">
        <v>100.03066666666669</v>
      </c>
      <c r="DI26" s="1161">
        <v>15</v>
      </c>
      <c r="DJ26" s="1161">
        <v>15.004600000000003</v>
      </c>
      <c r="DK26" s="245">
        <v>1.2003680000000003</v>
      </c>
      <c r="DL26" s="245">
        <v>120.12459999999999</v>
      </c>
      <c r="DM26" s="245">
        <v>9.6099679999999985</v>
      </c>
      <c r="DN26" s="412" t="s">
        <v>345</v>
      </c>
      <c r="DO26" s="938"/>
      <c r="DP26" s="853">
        <v>0</v>
      </c>
      <c r="DQ26" s="1161"/>
      <c r="DR26" s="1161"/>
      <c r="DS26" s="245">
        <v>0</v>
      </c>
      <c r="DT26" s="245">
        <v>120.12459999999999</v>
      </c>
      <c r="DU26" s="245">
        <v>9.6099679999999985</v>
      </c>
      <c r="DV26" s="412" t="s">
        <v>345</v>
      </c>
      <c r="DW26" s="938"/>
      <c r="DX26" s="853">
        <v>0</v>
      </c>
      <c r="DY26" s="1161"/>
      <c r="DZ26" s="1161"/>
      <c r="EA26" s="245">
        <v>0</v>
      </c>
      <c r="EB26" s="245">
        <v>120.12459999999999</v>
      </c>
      <c r="EC26" s="1233">
        <v>9.6099679999999985</v>
      </c>
      <c r="ED26" s="1171" t="s">
        <v>345</v>
      </c>
      <c r="EE26" s="1230"/>
      <c r="EF26" s="853">
        <v>100.03066666666669</v>
      </c>
      <c r="EG26" s="245">
        <v>15</v>
      </c>
      <c r="EH26" s="245">
        <v>15.004600000000003</v>
      </c>
      <c r="EI26" s="245">
        <v>1.2003680000000003</v>
      </c>
      <c r="EJ26" s="245">
        <v>120.12459999999999</v>
      </c>
      <c r="EK26" s="1233">
        <v>9.6099679999999985</v>
      </c>
      <c r="EL26" s="1171" t="s">
        <v>345</v>
      </c>
      <c r="EM26" s="1230"/>
      <c r="EN26" s="853">
        <v>102.05020408163266</v>
      </c>
      <c r="EO26" s="245">
        <v>49</v>
      </c>
      <c r="EP26" s="245">
        <v>50.004600000000003</v>
      </c>
      <c r="EQ26" s="245">
        <v>4.0003679999999999</v>
      </c>
      <c r="ER26" s="245">
        <v>120.12459999999999</v>
      </c>
      <c r="ES26" s="1233">
        <v>9.6099679999999985</v>
      </c>
      <c r="ET26" s="1171" t="s">
        <v>345</v>
      </c>
      <c r="EU26" s="1230"/>
      <c r="EV26" s="853">
        <v>245.15224489795918</v>
      </c>
      <c r="EW26" s="245">
        <v>49</v>
      </c>
      <c r="EX26" s="245">
        <v>120.12460000000002</v>
      </c>
      <c r="EY26" s="245">
        <v>9.6099680000000021</v>
      </c>
      <c r="EZ26" s="367">
        <v>120.12459999999999</v>
      </c>
      <c r="FA26" s="368">
        <v>9.6099679999999985</v>
      </c>
      <c r="FB26" s="369" t="s">
        <v>345</v>
      </c>
    </row>
    <row r="27" spans="2:158" ht="20.100000000000001" customHeight="1">
      <c r="B27" s="1733"/>
      <c r="C27" s="1737"/>
      <c r="D27" s="178" t="s">
        <v>260</v>
      </c>
      <c r="E27" s="174" t="s">
        <v>210</v>
      </c>
      <c r="F27" s="250">
        <v>250</v>
      </c>
      <c r="G27" s="251">
        <v>50</v>
      </c>
      <c r="H27" s="1229"/>
      <c r="I27" s="449">
        <v>36.5</v>
      </c>
      <c r="J27" s="313">
        <v>14.25</v>
      </c>
      <c r="K27" s="293">
        <v>2.85</v>
      </c>
      <c r="L27" s="1229"/>
      <c r="M27" s="846">
        <v>25</v>
      </c>
      <c r="N27" s="847">
        <v>47.25</v>
      </c>
      <c r="O27" s="1234" t="s">
        <v>4</v>
      </c>
      <c r="P27" s="465">
        <v>5</v>
      </c>
      <c r="Q27" s="859">
        <v>2.3624999999999998</v>
      </c>
      <c r="R27" s="412">
        <v>0.47250000000000003</v>
      </c>
      <c r="S27" s="938"/>
      <c r="T27" s="465">
        <v>7.5</v>
      </c>
      <c r="U27" s="245">
        <v>3.5437500000000002</v>
      </c>
      <c r="V27" s="412">
        <v>0.70874999999999999</v>
      </c>
      <c r="W27" s="938"/>
      <c r="X27" s="465">
        <v>7.5</v>
      </c>
      <c r="Y27" s="245">
        <v>3.5437500000000002</v>
      </c>
      <c r="Z27" s="412">
        <v>0.70874999999999999</v>
      </c>
      <c r="AA27" s="938"/>
      <c r="AB27" s="465">
        <v>6.666666666666667</v>
      </c>
      <c r="AC27" s="245">
        <v>3.15</v>
      </c>
      <c r="AD27" s="245">
        <v>0.63</v>
      </c>
      <c r="AE27" s="938"/>
      <c r="AF27" s="853">
        <v>100</v>
      </c>
      <c r="AG27" s="245">
        <v>5.2200000000000006</v>
      </c>
      <c r="AH27" s="245">
        <v>5.2200000000000006</v>
      </c>
      <c r="AI27" s="245">
        <v>1.0440000000000003</v>
      </c>
      <c r="AJ27" s="245">
        <v>8.370000000000001</v>
      </c>
      <c r="AK27" s="245">
        <v>1.6740000000000004</v>
      </c>
      <c r="AL27" s="412" t="s">
        <v>345</v>
      </c>
      <c r="AM27" s="938"/>
      <c r="AN27" s="853">
        <v>0</v>
      </c>
      <c r="AO27" s="245">
        <v>0</v>
      </c>
      <c r="AP27" s="245">
        <v>0</v>
      </c>
      <c r="AQ27" s="245">
        <v>0</v>
      </c>
      <c r="AR27" s="245">
        <v>8.370000000000001</v>
      </c>
      <c r="AS27" s="245">
        <v>1.6740000000000004</v>
      </c>
      <c r="AT27" s="412" t="s">
        <v>345</v>
      </c>
      <c r="AU27" s="938"/>
      <c r="AV27" s="853">
        <v>100</v>
      </c>
      <c r="AW27" s="1161">
        <v>5.8680000000000003</v>
      </c>
      <c r="AX27" s="1161">
        <v>5.8680000000000003</v>
      </c>
      <c r="AY27" s="245">
        <v>1.1736000000000002</v>
      </c>
      <c r="AZ27" s="245">
        <v>14.238000000000001</v>
      </c>
      <c r="BA27" s="245">
        <v>2.8476000000000004</v>
      </c>
      <c r="BB27" s="412" t="s">
        <v>345</v>
      </c>
      <c r="BC27" s="938"/>
      <c r="BD27" s="853">
        <v>100</v>
      </c>
      <c r="BE27" s="245">
        <v>11.088000000000001</v>
      </c>
      <c r="BF27" s="245">
        <v>11.088000000000001</v>
      </c>
      <c r="BG27" s="245">
        <v>2.2176000000000005</v>
      </c>
      <c r="BH27" s="245">
        <v>14.238000000000001</v>
      </c>
      <c r="BI27" s="245">
        <v>2.8476000000000004</v>
      </c>
      <c r="BJ27" s="412" t="s">
        <v>345</v>
      </c>
      <c r="BK27" s="938"/>
      <c r="BL27" s="853">
        <v>0</v>
      </c>
      <c r="BM27" s="245"/>
      <c r="BN27" s="245">
        <v>14.238000000000001</v>
      </c>
      <c r="BO27" s="245">
        <v>2.8476000000000004</v>
      </c>
      <c r="BP27" s="245">
        <v>14.238000000000001</v>
      </c>
      <c r="BQ27" s="245">
        <v>2.8476000000000004</v>
      </c>
      <c r="BR27" s="412" t="s">
        <v>345</v>
      </c>
      <c r="BS27" s="938"/>
      <c r="BT27" s="853">
        <v>0</v>
      </c>
      <c r="BU27" s="1161">
        <v>0</v>
      </c>
      <c r="BV27" s="1161">
        <v>0</v>
      </c>
      <c r="BW27" s="245">
        <v>0</v>
      </c>
      <c r="BX27" s="245">
        <v>14.238000000000001</v>
      </c>
      <c r="BY27" s="245">
        <v>2.8476000000000004</v>
      </c>
      <c r="BZ27" s="412" t="s">
        <v>345</v>
      </c>
      <c r="CA27" s="938"/>
      <c r="CB27" s="853">
        <v>0</v>
      </c>
      <c r="CC27" s="1161">
        <v>0</v>
      </c>
      <c r="CD27" s="1161">
        <v>0</v>
      </c>
      <c r="CE27" s="245">
        <v>0</v>
      </c>
      <c r="CF27" s="245">
        <v>14.238000000000001</v>
      </c>
      <c r="CG27" s="245">
        <v>2.8476000000000004</v>
      </c>
      <c r="CH27" s="412" t="s">
        <v>345</v>
      </c>
      <c r="CI27" s="938"/>
      <c r="CJ27" s="853">
        <v>0</v>
      </c>
      <c r="CK27" s="1161">
        <v>0</v>
      </c>
      <c r="CL27" s="1161">
        <v>0</v>
      </c>
      <c r="CM27" s="245">
        <v>0</v>
      </c>
      <c r="CN27" s="245">
        <v>14.238000000000001</v>
      </c>
      <c r="CO27" s="245">
        <v>2.8476000000000004</v>
      </c>
      <c r="CP27" s="412" t="s">
        <v>345</v>
      </c>
      <c r="CQ27" s="938"/>
      <c r="CR27" s="853">
        <v>0</v>
      </c>
      <c r="CS27" s="245">
        <v>0</v>
      </c>
      <c r="CT27" s="245">
        <v>0</v>
      </c>
      <c r="CU27" s="245">
        <v>0</v>
      </c>
      <c r="CV27" s="245">
        <v>14.238000000000001</v>
      </c>
      <c r="CW27" s="245">
        <v>2.8476000000000004</v>
      </c>
      <c r="CX27" s="412" t="s">
        <v>345</v>
      </c>
      <c r="CY27" s="938"/>
      <c r="CZ27" s="853">
        <v>0</v>
      </c>
      <c r="DA27" s="245">
        <v>0</v>
      </c>
      <c r="DB27" s="245">
        <v>14.238000000000001</v>
      </c>
      <c r="DC27" s="245">
        <v>2.8476000000000004</v>
      </c>
      <c r="DD27" s="245">
        <v>14.238000000000001</v>
      </c>
      <c r="DE27" s="245">
        <v>2.8476000000000004</v>
      </c>
      <c r="DF27" s="412" t="s">
        <v>345</v>
      </c>
      <c r="DG27" s="938"/>
      <c r="DH27" s="853">
        <v>0</v>
      </c>
      <c r="DI27" s="1161">
        <v>0</v>
      </c>
      <c r="DJ27" s="1161">
        <v>0</v>
      </c>
      <c r="DK27" s="245">
        <v>0</v>
      </c>
      <c r="DL27" s="245">
        <v>14.238000000000001</v>
      </c>
      <c r="DM27" s="245">
        <v>2.8476000000000004</v>
      </c>
      <c r="DN27" s="412" t="s">
        <v>345</v>
      </c>
      <c r="DO27" s="938"/>
      <c r="DP27" s="853">
        <v>0</v>
      </c>
      <c r="DQ27" s="1161"/>
      <c r="DR27" s="1161"/>
      <c r="DS27" s="245">
        <v>0</v>
      </c>
      <c r="DT27" s="245">
        <v>14.238000000000001</v>
      </c>
      <c r="DU27" s="245">
        <v>2.8476000000000004</v>
      </c>
      <c r="DV27" s="412" t="s">
        <v>345</v>
      </c>
      <c r="DW27" s="938"/>
      <c r="DX27" s="853">
        <v>0</v>
      </c>
      <c r="DY27" s="1161"/>
      <c r="DZ27" s="1161"/>
      <c r="EA27" s="245">
        <v>0</v>
      </c>
      <c r="EB27" s="245">
        <v>14.238000000000001</v>
      </c>
      <c r="EC27" s="1233">
        <v>2.8476000000000004</v>
      </c>
      <c r="ED27" s="1171" t="s">
        <v>345</v>
      </c>
      <c r="EE27" s="1230"/>
      <c r="EF27" s="853">
        <v>0</v>
      </c>
      <c r="EG27" s="245">
        <v>0</v>
      </c>
      <c r="EH27" s="245">
        <v>0</v>
      </c>
      <c r="EI27" s="245">
        <v>0</v>
      </c>
      <c r="EJ27" s="245">
        <v>14.238000000000001</v>
      </c>
      <c r="EK27" s="1233">
        <v>2.8476000000000004</v>
      </c>
      <c r="EL27" s="1171" t="s">
        <v>345</v>
      </c>
      <c r="EM27" s="1230"/>
      <c r="EN27" s="853">
        <v>0</v>
      </c>
      <c r="EO27" s="245">
        <v>0</v>
      </c>
      <c r="EP27" s="245">
        <v>0</v>
      </c>
      <c r="EQ27" s="245">
        <v>0</v>
      </c>
      <c r="ER27" s="245">
        <v>14.238000000000001</v>
      </c>
      <c r="ES27" s="1233">
        <v>2.8476000000000004</v>
      </c>
      <c r="ET27" s="1171" t="s">
        <v>345</v>
      </c>
      <c r="EU27" s="1230"/>
      <c r="EV27" s="853">
        <v>0</v>
      </c>
      <c r="EW27" s="245">
        <v>0</v>
      </c>
      <c r="EX27" s="245">
        <v>14.238000000000001</v>
      </c>
      <c r="EY27" s="245">
        <v>2.8476000000000004</v>
      </c>
      <c r="EZ27" s="367">
        <v>14.238000000000001</v>
      </c>
      <c r="FA27" s="368">
        <v>2.8476000000000004</v>
      </c>
      <c r="FB27" s="369" t="s">
        <v>345</v>
      </c>
    </row>
    <row r="28" spans="2:158" ht="20.100000000000001" customHeight="1">
      <c r="B28" s="1733"/>
      <c r="C28" s="1737"/>
      <c r="D28" s="178" t="s">
        <v>208</v>
      </c>
      <c r="E28" s="174" t="s">
        <v>210</v>
      </c>
      <c r="F28" s="250">
        <v>250</v>
      </c>
      <c r="G28" s="251">
        <v>5</v>
      </c>
      <c r="H28" s="1229"/>
      <c r="I28" s="449"/>
      <c r="J28" s="313">
        <v>0</v>
      </c>
      <c r="K28" s="293">
        <v>0</v>
      </c>
      <c r="L28" s="1229"/>
      <c r="M28" s="469">
        <v>0</v>
      </c>
      <c r="N28" s="274">
        <v>0</v>
      </c>
      <c r="O28" s="1230"/>
      <c r="P28" s="465">
        <v>0</v>
      </c>
      <c r="Q28" s="859">
        <v>0</v>
      </c>
      <c r="R28" s="412">
        <v>0</v>
      </c>
      <c r="S28" s="938"/>
      <c r="T28" s="465">
        <v>0</v>
      </c>
      <c r="U28" s="245">
        <v>0</v>
      </c>
      <c r="V28" s="412">
        <v>0</v>
      </c>
      <c r="W28" s="938"/>
      <c r="X28" s="465">
        <v>0</v>
      </c>
      <c r="Y28" s="245">
        <v>0</v>
      </c>
      <c r="Z28" s="412">
        <v>0</v>
      </c>
      <c r="AA28" s="938"/>
      <c r="AB28" s="465">
        <v>0</v>
      </c>
      <c r="AC28" s="245">
        <v>0</v>
      </c>
      <c r="AD28" s="245">
        <v>0</v>
      </c>
      <c r="AE28" s="938"/>
      <c r="AF28" s="853">
        <v>0</v>
      </c>
      <c r="AG28" s="245">
        <v>0</v>
      </c>
      <c r="AH28" s="245">
        <v>0</v>
      </c>
      <c r="AI28" s="245">
        <v>0</v>
      </c>
      <c r="AJ28" s="245">
        <v>0</v>
      </c>
      <c r="AK28" s="245">
        <v>0</v>
      </c>
      <c r="AL28" s="412" t="s">
        <v>345</v>
      </c>
      <c r="AM28" s="938"/>
      <c r="AN28" s="853">
        <v>0</v>
      </c>
      <c r="AO28" s="245">
        <v>0</v>
      </c>
      <c r="AP28" s="245">
        <v>0</v>
      </c>
      <c r="AQ28" s="245">
        <v>0</v>
      </c>
      <c r="AR28" s="245">
        <v>0</v>
      </c>
      <c r="AS28" s="245">
        <v>0</v>
      </c>
      <c r="AT28" s="412" t="s">
        <v>345</v>
      </c>
      <c r="AU28" s="938"/>
      <c r="AV28" s="853">
        <v>0</v>
      </c>
      <c r="AW28" s="1161">
        <v>0</v>
      </c>
      <c r="AX28" s="1161">
        <v>0</v>
      </c>
      <c r="AY28" s="245">
        <v>0</v>
      </c>
      <c r="AZ28" s="245">
        <v>0</v>
      </c>
      <c r="BA28" s="245">
        <v>0</v>
      </c>
      <c r="BB28" s="412" t="s">
        <v>345</v>
      </c>
      <c r="BC28" s="938"/>
      <c r="BD28" s="853">
        <v>0</v>
      </c>
      <c r="BE28" s="245">
        <v>0</v>
      </c>
      <c r="BF28" s="245">
        <v>0</v>
      </c>
      <c r="BG28" s="245">
        <v>0</v>
      </c>
      <c r="BH28" s="245">
        <v>0</v>
      </c>
      <c r="BI28" s="245">
        <v>0</v>
      </c>
      <c r="BJ28" s="412" t="s">
        <v>345</v>
      </c>
      <c r="BK28" s="938"/>
      <c r="BL28" s="853">
        <v>0</v>
      </c>
      <c r="BM28" s="245"/>
      <c r="BN28" s="245">
        <v>0</v>
      </c>
      <c r="BO28" s="245">
        <v>0</v>
      </c>
      <c r="BP28" s="245">
        <v>0</v>
      </c>
      <c r="BQ28" s="245">
        <v>0</v>
      </c>
      <c r="BR28" s="412" t="s">
        <v>345</v>
      </c>
      <c r="BS28" s="938"/>
      <c r="BT28" s="853">
        <v>0</v>
      </c>
      <c r="BU28" s="1161">
        <v>0</v>
      </c>
      <c r="BV28" s="1161">
        <v>0</v>
      </c>
      <c r="BW28" s="245">
        <v>0</v>
      </c>
      <c r="BX28" s="245">
        <v>0</v>
      </c>
      <c r="BY28" s="245">
        <v>0</v>
      </c>
      <c r="BZ28" s="412" t="s">
        <v>345</v>
      </c>
      <c r="CA28" s="938"/>
      <c r="CB28" s="853">
        <v>0</v>
      </c>
      <c r="CC28" s="1161">
        <v>0</v>
      </c>
      <c r="CD28" s="1161">
        <v>0</v>
      </c>
      <c r="CE28" s="245">
        <v>0</v>
      </c>
      <c r="CF28" s="245">
        <v>0</v>
      </c>
      <c r="CG28" s="245">
        <v>0</v>
      </c>
      <c r="CH28" s="412" t="s">
        <v>345</v>
      </c>
      <c r="CI28" s="938"/>
      <c r="CJ28" s="853">
        <v>0</v>
      </c>
      <c r="CK28" s="1161">
        <v>0</v>
      </c>
      <c r="CL28" s="1161">
        <v>0</v>
      </c>
      <c r="CM28" s="245">
        <v>0</v>
      </c>
      <c r="CN28" s="245">
        <v>0</v>
      </c>
      <c r="CO28" s="245">
        <v>0</v>
      </c>
      <c r="CP28" s="412" t="s">
        <v>345</v>
      </c>
      <c r="CQ28" s="938"/>
      <c r="CR28" s="853">
        <v>0</v>
      </c>
      <c r="CS28" s="245">
        <v>0</v>
      </c>
      <c r="CT28" s="245">
        <v>0</v>
      </c>
      <c r="CU28" s="245">
        <v>0</v>
      </c>
      <c r="CV28" s="245">
        <v>0</v>
      </c>
      <c r="CW28" s="245">
        <v>0</v>
      </c>
      <c r="CX28" s="412" t="s">
        <v>345</v>
      </c>
      <c r="CY28" s="938"/>
      <c r="CZ28" s="853">
        <v>0</v>
      </c>
      <c r="DA28" s="245">
        <v>0</v>
      </c>
      <c r="DB28" s="245">
        <v>0</v>
      </c>
      <c r="DC28" s="245">
        <v>0</v>
      </c>
      <c r="DD28" s="245">
        <v>0</v>
      </c>
      <c r="DE28" s="245">
        <v>0</v>
      </c>
      <c r="DF28" s="412" t="s">
        <v>345</v>
      </c>
      <c r="DG28" s="938"/>
      <c r="DH28" s="853">
        <v>0</v>
      </c>
      <c r="DI28" s="1161">
        <v>0</v>
      </c>
      <c r="DJ28" s="1161">
        <v>0</v>
      </c>
      <c r="DK28" s="245">
        <v>0</v>
      </c>
      <c r="DL28" s="245">
        <v>0</v>
      </c>
      <c r="DM28" s="245">
        <v>0</v>
      </c>
      <c r="DN28" s="412" t="s">
        <v>345</v>
      </c>
      <c r="DO28" s="938"/>
      <c r="DP28" s="853">
        <v>0</v>
      </c>
      <c r="DQ28" s="1161"/>
      <c r="DR28" s="1161"/>
      <c r="DS28" s="245">
        <v>0</v>
      </c>
      <c r="DT28" s="245">
        <v>0</v>
      </c>
      <c r="DU28" s="245">
        <v>0</v>
      </c>
      <c r="DV28" s="412" t="s">
        <v>345</v>
      </c>
      <c r="DW28" s="938"/>
      <c r="DX28" s="853">
        <v>0</v>
      </c>
      <c r="DY28" s="1161"/>
      <c r="DZ28" s="1161"/>
      <c r="EA28" s="245">
        <v>0</v>
      </c>
      <c r="EB28" s="245">
        <v>0</v>
      </c>
      <c r="EC28" s="1233">
        <v>0</v>
      </c>
      <c r="ED28" s="1171" t="s">
        <v>345</v>
      </c>
      <c r="EE28" s="1230"/>
      <c r="EF28" s="853">
        <v>0</v>
      </c>
      <c r="EG28" s="245">
        <v>0</v>
      </c>
      <c r="EH28" s="245">
        <v>0</v>
      </c>
      <c r="EI28" s="245">
        <v>0</v>
      </c>
      <c r="EJ28" s="245">
        <v>0</v>
      </c>
      <c r="EK28" s="1233">
        <v>0</v>
      </c>
      <c r="EL28" s="1171" t="s">
        <v>345</v>
      </c>
      <c r="EM28" s="1230"/>
      <c r="EN28" s="853">
        <v>0</v>
      </c>
      <c r="EO28" s="245">
        <v>0</v>
      </c>
      <c r="EP28" s="245">
        <v>0</v>
      </c>
      <c r="EQ28" s="245">
        <v>0</v>
      </c>
      <c r="ER28" s="245">
        <v>0</v>
      </c>
      <c r="ES28" s="1233">
        <v>0</v>
      </c>
      <c r="ET28" s="1171" t="s">
        <v>345</v>
      </c>
      <c r="EU28" s="1230"/>
      <c r="EV28" s="853">
        <v>0</v>
      </c>
      <c r="EW28" s="245">
        <v>0</v>
      </c>
      <c r="EX28" s="245">
        <v>0</v>
      </c>
      <c r="EY28" s="245">
        <v>0</v>
      </c>
      <c r="EZ28" s="367">
        <v>0</v>
      </c>
      <c r="FA28" s="368">
        <v>0</v>
      </c>
      <c r="FB28" s="369" t="s">
        <v>345</v>
      </c>
    </row>
    <row r="29" spans="2:158" ht="20.100000000000001" customHeight="1" thickBot="1">
      <c r="B29" s="1749"/>
      <c r="C29" s="1751"/>
      <c r="D29" s="428" t="s">
        <v>14</v>
      </c>
      <c r="E29" s="429"/>
      <c r="F29" s="312"/>
      <c r="G29" s="264">
        <v>100</v>
      </c>
      <c r="H29" s="1229"/>
      <c r="I29" s="311"/>
      <c r="J29" s="312"/>
      <c r="K29" s="308">
        <v>14.049999999999999</v>
      </c>
      <c r="L29" s="1229"/>
      <c r="M29" s="470"/>
      <c r="N29" s="471"/>
      <c r="O29" s="1230"/>
      <c r="P29" s="466"/>
      <c r="Q29" s="860"/>
      <c r="R29" s="854">
        <v>2.1526199999999998</v>
      </c>
      <c r="S29" s="938"/>
      <c r="T29" s="466"/>
      <c r="U29" s="490" t="s">
        <v>4</v>
      </c>
      <c r="V29" s="854">
        <v>3.1380499999999998</v>
      </c>
      <c r="W29" s="938"/>
      <c r="X29" s="466"/>
      <c r="Y29" s="490" t="s">
        <v>4</v>
      </c>
      <c r="Z29" s="854">
        <v>3.51166</v>
      </c>
      <c r="AA29" s="938"/>
      <c r="AB29" s="466"/>
      <c r="AC29" s="490" t="s">
        <v>4</v>
      </c>
      <c r="AD29" s="855">
        <v>8.8023299999999995</v>
      </c>
      <c r="AE29" s="938"/>
      <c r="AF29" s="970"/>
      <c r="AG29" s="673"/>
      <c r="AH29" s="490" t="s">
        <v>4</v>
      </c>
      <c r="AI29" s="854">
        <v>9.3436000000000003</v>
      </c>
      <c r="AJ29" s="974"/>
      <c r="AK29" s="490">
        <v>12.277709999999999</v>
      </c>
      <c r="AL29" s="467"/>
      <c r="AM29" s="938"/>
      <c r="AN29" s="970"/>
      <c r="AO29" s="673"/>
      <c r="AP29" s="490" t="s">
        <v>4</v>
      </c>
      <c r="AQ29" s="854">
        <v>3.508</v>
      </c>
      <c r="AR29" s="974"/>
      <c r="AS29" s="490">
        <v>15.785710000000002</v>
      </c>
      <c r="AT29" s="467"/>
      <c r="AU29" s="938"/>
      <c r="AV29" s="970"/>
      <c r="AW29" s="673"/>
      <c r="AX29" s="490" t="s">
        <v>4</v>
      </c>
      <c r="AY29" s="854">
        <v>3.7488900000000003</v>
      </c>
      <c r="AZ29" s="974"/>
      <c r="BA29" s="490">
        <v>19.534600000000001</v>
      </c>
      <c r="BB29" s="467"/>
      <c r="BC29" s="938"/>
      <c r="BD29" s="970"/>
      <c r="BE29" s="673"/>
      <c r="BF29" s="490" t="s">
        <v>4</v>
      </c>
      <c r="BG29" s="854">
        <v>16.600490000000001</v>
      </c>
      <c r="BH29" s="974"/>
      <c r="BI29" s="490">
        <v>19.534600000000001</v>
      </c>
      <c r="BJ29" s="467"/>
      <c r="BK29" s="938"/>
      <c r="BL29" s="970"/>
      <c r="BM29" s="673"/>
      <c r="BN29" s="490" t="s">
        <v>4</v>
      </c>
      <c r="BO29" s="854">
        <v>25.402819999999998</v>
      </c>
      <c r="BP29" s="974"/>
      <c r="BQ29" s="490">
        <v>19.534600000000001</v>
      </c>
      <c r="BR29" s="467"/>
      <c r="BS29" s="938"/>
      <c r="BT29" s="970"/>
      <c r="BU29" s="673"/>
      <c r="BV29" s="490" t="s">
        <v>4</v>
      </c>
      <c r="BW29" s="854">
        <v>3.6277199999999996</v>
      </c>
      <c r="BX29" s="974"/>
      <c r="BY29" s="490">
        <v>23.162320000000001</v>
      </c>
      <c r="BZ29" s="467"/>
      <c r="CA29" s="938"/>
      <c r="CB29" s="970"/>
      <c r="CC29" s="673"/>
      <c r="CD29" s="490" t="s">
        <v>4</v>
      </c>
      <c r="CE29" s="854">
        <v>7.120000000000001</v>
      </c>
      <c r="CF29" s="974"/>
      <c r="CG29" s="490">
        <v>30.282319999999999</v>
      </c>
      <c r="CH29" s="467"/>
      <c r="CI29" s="938"/>
      <c r="CJ29" s="970"/>
      <c r="CK29" s="673"/>
      <c r="CL29" s="490" t="s">
        <v>4</v>
      </c>
      <c r="CM29" s="854">
        <v>5.68</v>
      </c>
      <c r="CN29" s="974"/>
      <c r="CO29" s="490">
        <v>35.962319999999998</v>
      </c>
      <c r="CP29" s="467"/>
      <c r="CQ29" s="938"/>
      <c r="CR29" s="970"/>
      <c r="CS29" s="673"/>
      <c r="CT29" s="490" t="s">
        <v>4</v>
      </c>
      <c r="CU29" s="854">
        <v>16.427720000000001</v>
      </c>
      <c r="CV29" s="974"/>
      <c r="CW29" s="490">
        <v>35.962319999999998</v>
      </c>
      <c r="CX29" s="467"/>
      <c r="CY29" s="938"/>
      <c r="CZ29" s="970"/>
      <c r="DA29" s="673"/>
      <c r="DB29" s="490" t="s">
        <v>4</v>
      </c>
      <c r="DC29" s="854">
        <v>41.830539999999999</v>
      </c>
      <c r="DD29" s="974"/>
      <c r="DE29" s="490">
        <v>35.962319999999998</v>
      </c>
      <c r="DF29" s="467"/>
      <c r="DG29" s="938"/>
      <c r="DH29" s="970"/>
      <c r="DI29" s="673"/>
      <c r="DJ29" s="490" t="s">
        <v>4</v>
      </c>
      <c r="DK29" s="854">
        <v>9.0510680000000008</v>
      </c>
      <c r="DL29" s="974"/>
      <c r="DM29" s="490">
        <v>45.013388000000006</v>
      </c>
      <c r="DN29" s="467"/>
      <c r="DO29" s="938"/>
      <c r="DP29" s="970"/>
      <c r="DQ29" s="673"/>
      <c r="DR29" s="490" t="s">
        <v>4</v>
      </c>
      <c r="DS29" s="854">
        <v>0</v>
      </c>
      <c r="DT29" s="974"/>
      <c r="DU29" s="490">
        <v>45.013388000000006</v>
      </c>
      <c r="DV29" s="467"/>
      <c r="DW29" s="938"/>
      <c r="DX29" s="970"/>
      <c r="DY29" s="673"/>
      <c r="DZ29" s="490" t="s">
        <v>4</v>
      </c>
      <c r="EA29" s="854">
        <v>0</v>
      </c>
      <c r="EB29" s="1235"/>
      <c r="EC29" s="260">
        <v>45.013388000000006</v>
      </c>
      <c r="ED29" s="471"/>
      <c r="EE29" s="1230"/>
      <c r="EF29" s="970"/>
      <c r="EG29" s="673"/>
      <c r="EH29" s="490" t="s">
        <v>4</v>
      </c>
      <c r="EI29" s="259">
        <v>9.0510680000000008</v>
      </c>
      <c r="EJ29" s="1235"/>
      <c r="EK29" s="260">
        <v>45.013388000000006</v>
      </c>
      <c r="EL29" s="471"/>
      <c r="EM29" s="1230"/>
      <c r="EN29" s="970"/>
      <c r="EO29" s="673"/>
      <c r="EP29" s="490" t="s">
        <v>4</v>
      </c>
      <c r="EQ29" s="259">
        <v>25.478788000000002</v>
      </c>
      <c r="ER29" s="1235"/>
      <c r="ES29" s="260">
        <v>45.013388000000006</v>
      </c>
      <c r="ET29" s="471"/>
      <c r="EU29" s="1230"/>
      <c r="EV29" s="970"/>
      <c r="EW29" s="673"/>
      <c r="EX29" s="265" t="s">
        <v>4</v>
      </c>
      <c r="EY29" s="259">
        <v>50.881608</v>
      </c>
      <c r="EZ29" s="373"/>
      <c r="FA29" s="370">
        <v>45.013388000000006</v>
      </c>
      <c r="FB29" s="371"/>
    </row>
    <row r="30" spans="2:158" ht="20.100000000000001" customHeight="1">
      <c r="B30" s="1748" t="s">
        <v>22</v>
      </c>
      <c r="C30" s="1750" t="s">
        <v>57</v>
      </c>
      <c r="D30" s="181" t="s">
        <v>261</v>
      </c>
      <c r="E30" s="182" t="s">
        <v>11</v>
      </c>
      <c r="F30" s="239">
        <v>80</v>
      </c>
      <c r="G30" s="240">
        <v>5</v>
      </c>
      <c r="H30" s="1198"/>
      <c r="I30" s="448">
        <v>20</v>
      </c>
      <c r="J30" s="450">
        <v>20</v>
      </c>
      <c r="K30" s="288">
        <v>1.25</v>
      </c>
      <c r="L30" s="1229"/>
      <c r="M30" s="468">
        <v>35</v>
      </c>
      <c r="N30" s="848">
        <v>35</v>
      </c>
      <c r="O30" s="1230"/>
      <c r="P30" s="852">
        <v>70</v>
      </c>
      <c r="Q30" s="858">
        <v>24.5</v>
      </c>
      <c r="R30" s="412">
        <v>1.53125</v>
      </c>
      <c r="S30" s="938"/>
      <c r="T30" s="852">
        <v>100</v>
      </c>
      <c r="U30" s="243">
        <v>35</v>
      </c>
      <c r="V30" s="412">
        <v>2.1875</v>
      </c>
      <c r="W30" s="938"/>
      <c r="X30" s="852">
        <v>100</v>
      </c>
      <c r="Y30" s="243">
        <v>35</v>
      </c>
      <c r="Z30" s="412">
        <v>2.1875</v>
      </c>
      <c r="AA30" s="938"/>
      <c r="AB30" s="465">
        <v>90</v>
      </c>
      <c r="AC30" s="245">
        <v>31.5</v>
      </c>
      <c r="AD30" s="245">
        <v>1.96875</v>
      </c>
      <c r="AE30" s="938"/>
      <c r="AF30" s="853">
        <v>100</v>
      </c>
      <c r="AG30" s="1169">
        <v>35</v>
      </c>
      <c r="AH30" s="1169">
        <v>35</v>
      </c>
      <c r="AI30" s="245">
        <v>2.1875</v>
      </c>
      <c r="AJ30" s="245">
        <v>66.5</v>
      </c>
      <c r="AK30" s="245">
        <v>4.15625</v>
      </c>
      <c r="AL30" s="411" t="s">
        <v>279</v>
      </c>
      <c r="AM30" s="938"/>
      <c r="AN30" s="853">
        <v>0</v>
      </c>
      <c r="AO30" s="1169">
        <v>35</v>
      </c>
      <c r="AP30" s="1169">
        <v>0</v>
      </c>
      <c r="AQ30" s="245">
        <v>0</v>
      </c>
      <c r="AR30" s="245">
        <v>66.5</v>
      </c>
      <c r="AS30" s="245">
        <v>4.15625</v>
      </c>
      <c r="AT30" s="411" t="s">
        <v>279</v>
      </c>
      <c r="AU30" s="938"/>
      <c r="AV30" s="853">
        <v>0</v>
      </c>
      <c r="AW30" s="1161">
        <v>35</v>
      </c>
      <c r="AX30" s="1161">
        <v>0</v>
      </c>
      <c r="AY30" s="245">
        <v>0</v>
      </c>
      <c r="AZ30" s="245">
        <v>66.5</v>
      </c>
      <c r="BA30" s="245">
        <v>4.15625</v>
      </c>
      <c r="BB30" s="411" t="s">
        <v>279</v>
      </c>
      <c r="BC30" s="938"/>
      <c r="BD30" s="853">
        <v>33.333333333333329</v>
      </c>
      <c r="BE30" s="245">
        <v>105</v>
      </c>
      <c r="BF30" s="245">
        <v>35</v>
      </c>
      <c r="BG30" s="245">
        <v>2.1875</v>
      </c>
      <c r="BH30" s="245">
        <v>66.5</v>
      </c>
      <c r="BI30" s="245">
        <v>4.15625</v>
      </c>
      <c r="BJ30" s="411" t="s">
        <v>279</v>
      </c>
      <c r="BK30" s="938"/>
      <c r="BL30" s="853">
        <v>0</v>
      </c>
      <c r="BM30" s="245"/>
      <c r="BN30" s="245">
        <v>66.5</v>
      </c>
      <c r="BO30" s="245">
        <v>4.15625</v>
      </c>
      <c r="BP30" s="245">
        <v>66.5</v>
      </c>
      <c r="BQ30" s="245">
        <v>4.15625</v>
      </c>
      <c r="BR30" s="411" t="s">
        <v>279</v>
      </c>
      <c r="BS30" s="938"/>
      <c r="BT30" s="853">
        <v>0</v>
      </c>
      <c r="BU30" s="1161">
        <v>0</v>
      </c>
      <c r="BV30" s="1161">
        <v>0</v>
      </c>
      <c r="BW30" s="245">
        <v>0</v>
      </c>
      <c r="BX30" s="245">
        <v>66.5</v>
      </c>
      <c r="BY30" s="245">
        <v>4.15625</v>
      </c>
      <c r="BZ30" s="411" t="s">
        <v>279</v>
      </c>
      <c r="CA30" s="938"/>
      <c r="CB30" s="853">
        <v>0</v>
      </c>
      <c r="CC30" s="1161">
        <v>0</v>
      </c>
      <c r="CD30" s="1161">
        <v>0</v>
      </c>
      <c r="CE30" s="245">
        <v>0</v>
      </c>
      <c r="CF30" s="245">
        <v>66.5</v>
      </c>
      <c r="CG30" s="245">
        <v>4.15625</v>
      </c>
      <c r="CH30" s="411" t="s">
        <v>279</v>
      </c>
      <c r="CI30" s="938"/>
      <c r="CJ30" s="853">
        <v>0</v>
      </c>
      <c r="CK30" s="1161">
        <v>3.8888888888888888</v>
      </c>
      <c r="CL30" s="1161">
        <v>0</v>
      </c>
      <c r="CM30" s="245">
        <v>0</v>
      </c>
      <c r="CN30" s="245">
        <v>66.5</v>
      </c>
      <c r="CO30" s="245">
        <v>4.15625</v>
      </c>
      <c r="CP30" s="411" t="s">
        <v>279</v>
      </c>
      <c r="CQ30" s="938"/>
      <c r="CR30" s="853">
        <v>0</v>
      </c>
      <c r="CS30" s="245">
        <v>3.8888888888888888</v>
      </c>
      <c r="CT30" s="245">
        <v>0</v>
      </c>
      <c r="CU30" s="245">
        <v>0</v>
      </c>
      <c r="CV30" s="245">
        <v>66.5</v>
      </c>
      <c r="CW30" s="245">
        <v>4.15625</v>
      </c>
      <c r="CX30" s="411" t="s">
        <v>279</v>
      </c>
      <c r="CY30" s="938"/>
      <c r="CZ30" s="853">
        <v>1710.0000000000002</v>
      </c>
      <c r="DA30" s="245">
        <v>3.8888888888888888</v>
      </c>
      <c r="DB30" s="245">
        <v>66.5</v>
      </c>
      <c r="DC30" s="245">
        <v>4.15625</v>
      </c>
      <c r="DD30" s="245">
        <v>66.5</v>
      </c>
      <c r="DE30" s="245">
        <v>4.15625</v>
      </c>
      <c r="DF30" s="411" t="s">
        <v>279</v>
      </c>
      <c r="DG30" s="938"/>
      <c r="DH30" s="853">
        <v>0</v>
      </c>
      <c r="DI30" s="1161">
        <v>3.8888888888888888</v>
      </c>
      <c r="DJ30" s="1161">
        <v>0</v>
      </c>
      <c r="DK30" s="245">
        <v>0</v>
      </c>
      <c r="DL30" s="245">
        <v>66.5</v>
      </c>
      <c r="DM30" s="245">
        <v>4.15625</v>
      </c>
      <c r="DN30" s="411" t="s">
        <v>279</v>
      </c>
      <c r="DO30" s="938"/>
      <c r="DP30" s="853">
        <v>0</v>
      </c>
      <c r="DQ30" s="1161">
        <v>3.8888888888888888</v>
      </c>
      <c r="DR30" s="1161"/>
      <c r="DS30" s="245">
        <v>0</v>
      </c>
      <c r="DT30" s="245">
        <v>66.5</v>
      </c>
      <c r="DU30" s="245">
        <v>4.15625</v>
      </c>
      <c r="DV30" s="411" t="s">
        <v>279</v>
      </c>
      <c r="DW30" s="938"/>
      <c r="DX30" s="853">
        <v>0</v>
      </c>
      <c r="DY30" s="1161">
        <v>3.8888888888888888</v>
      </c>
      <c r="DZ30" s="1161"/>
      <c r="EA30" s="245">
        <v>0</v>
      </c>
      <c r="EB30" s="245">
        <v>66.5</v>
      </c>
      <c r="EC30" s="1233">
        <v>4.15625</v>
      </c>
      <c r="ED30" s="1168" t="s">
        <v>279</v>
      </c>
      <c r="EE30" s="1230"/>
      <c r="EF30" s="853">
        <v>0</v>
      </c>
      <c r="EG30" s="245">
        <v>11.666666666666666</v>
      </c>
      <c r="EH30" s="245">
        <v>0</v>
      </c>
      <c r="EI30" s="245">
        <v>0</v>
      </c>
      <c r="EJ30" s="245">
        <v>66.5</v>
      </c>
      <c r="EK30" s="1233">
        <v>4.15625</v>
      </c>
      <c r="EL30" s="1168" t="s">
        <v>279</v>
      </c>
      <c r="EM30" s="1230"/>
      <c r="EN30" s="853">
        <v>0</v>
      </c>
      <c r="EO30" s="245">
        <v>15.555555555555555</v>
      </c>
      <c r="EP30" s="245">
        <v>0</v>
      </c>
      <c r="EQ30" s="245">
        <v>0</v>
      </c>
      <c r="ER30" s="245">
        <v>66.5</v>
      </c>
      <c r="ES30" s="1233">
        <v>4.15625</v>
      </c>
      <c r="ET30" s="1168" t="s">
        <v>279</v>
      </c>
      <c r="EU30" s="1230"/>
      <c r="EV30" s="853">
        <v>427.50000000000006</v>
      </c>
      <c r="EW30" s="245">
        <v>15.555555555555555</v>
      </c>
      <c r="EX30" s="245">
        <v>66.5</v>
      </c>
      <c r="EY30" s="245">
        <v>4.15625</v>
      </c>
      <c r="EZ30" s="367">
        <v>66.5</v>
      </c>
      <c r="FA30" s="368">
        <v>4.15625</v>
      </c>
      <c r="FB30" s="372" t="s">
        <v>279</v>
      </c>
    </row>
    <row r="31" spans="2:158" ht="20.100000000000001" customHeight="1">
      <c r="B31" s="1733"/>
      <c r="C31" s="1737"/>
      <c r="D31" s="178" t="s">
        <v>262</v>
      </c>
      <c r="E31" s="174" t="s">
        <v>12</v>
      </c>
      <c r="F31" s="250">
        <v>80</v>
      </c>
      <c r="G31" s="251">
        <v>5</v>
      </c>
      <c r="H31" s="1198"/>
      <c r="I31" s="306">
        <v>20</v>
      </c>
      <c r="J31" s="313">
        <v>20</v>
      </c>
      <c r="K31" s="293">
        <v>1.25</v>
      </c>
      <c r="L31" s="1229"/>
      <c r="M31" s="469">
        <v>35</v>
      </c>
      <c r="N31" s="843">
        <v>35</v>
      </c>
      <c r="O31" s="1230"/>
      <c r="P31" s="465">
        <v>70</v>
      </c>
      <c r="Q31" s="859">
        <v>24.5</v>
      </c>
      <c r="R31" s="412">
        <v>1.53125</v>
      </c>
      <c r="S31" s="938"/>
      <c r="T31" s="465">
        <v>25</v>
      </c>
      <c r="U31" s="245">
        <v>8.75</v>
      </c>
      <c r="V31" s="412">
        <v>0.546875</v>
      </c>
      <c r="W31" s="938"/>
      <c r="X31" s="465">
        <v>30</v>
      </c>
      <c r="Y31" s="245">
        <v>10.5</v>
      </c>
      <c r="Z31" s="412">
        <v>0.65625</v>
      </c>
      <c r="AA31" s="938"/>
      <c r="AB31" s="465">
        <v>41.666666666666664</v>
      </c>
      <c r="AC31" s="245">
        <v>14.583333333333332</v>
      </c>
      <c r="AD31" s="245">
        <v>0.91145833333333326</v>
      </c>
      <c r="AE31" s="938"/>
      <c r="AF31" s="853">
        <v>100</v>
      </c>
      <c r="AG31" s="1169">
        <v>35</v>
      </c>
      <c r="AH31" s="1169">
        <v>35</v>
      </c>
      <c r="AI31" s="245">
        <v>2.1875</v>
      </c>
      <c r="AJ31" s="245">
        <v>49.583333333333329</v>
      </c>
      <c r="AK31" s="245">
        <v>3.098958333333333</v>
      </c>
      <c r="AL31" s="412" t="s">
        <v>279</v>
      </c>
      <c r="AM31" s="938"/>
      <c r="AN31" s="853">
        <v>0</v>
      </c>
      <c r="AO31" s="1169">
        <v>35</v>
      </c>
      <c r="AP31" s="1169">
        <v>0</v>
      </c>
      <c r="AQ31" s="245">
        <v>0</v>
      </c>
      <c r="AR31" s="245">
        <v>49.583333333333329</v>
      </c>
      <c r="AS31" s="245">
        <v>3.098958333333333</v>
      </c>
      <c r="AT31" s="412" t="s">
        <v>279</v>
      </c>
      <c r="AU31" s="938"/>
      <c r="AV31" s="853">
        <v>0</v>
      </c>
      <c r="AW31" s="1161">
        <v>35</v>
      </c>
      <c r="AX31" s="1161">
        <v>0</v>
      </c>
      <c r="AY31" s="245">
        <v>0</v>
      </c>
      <c r="AZ31" s="245">
        <v>49.583333333333329</v>
      </c>
      <c r="BA31" s="245">
        <v>3.098958333333333</v>
      </c>
      <c r="BB31" s="412" t="s">
        <v>279</v>
      </c>
      <c r="BC31" s="938"/>
      <c r="BD31" s="853">
        <v>33.333333333333329</v>
      </c>
      <c r="BE31" s="245">
        <v>105</v>
      </c>
      <c r="BF31" s="245">
        <v>35</v>
      </c>
      <c r="BG31" s="245">
        <v>2.1875</v>
      </c>
      <c r="BH31" s="245">
        <v>49.583333333333329</v>
      </c>
      <c r="BI31" s="245">
        <v>3.098958333333333</v>
      </c>
      <c r="BJ31" s="412" t="s">
        <v>279</v>
      </c>
      <c r="BK31" s="938"/>
      <c r="BL31" s="853">
        <v>0</v>
      </c>
      <c r="BM31" s="245"/>
      <c r="BN31" s="245">
        <v>49.583333333333329</v>
      </c>
      <c r="BO31" s="245">
        <v>3.098958333333333</v>
      </c>
      <c r="BP31" s="245">
        <v>49.583333333333329</v>
      </c>
      <c r="BQ31" s="245">
        <v>3.098958333333333</v>
      </c>
      <c r="BR31" s="412" t="s">
        <v>279</v>
      </c>
      <c r="BS31" s="938"/>
      <c r="BT31" s="853">
        <v>0</v>
      </c>
      <c r="BU31" s="1161">
        <v>0</v>
      </c>
      <c r="BV31" s="1161">
        <v>0</v>
      </c>
      <c r="BW31" s="245">
        <v>0</v>
      </c>
      <c r="BX31" s="245">
        <v>49.583333333333329</v>
      </c>
      <c r="BY31" s="245">
        <v>3.098958333333333</v>
      </c>
      <c r="BZ31" s="412" t="s">
        <v>279</v>
      </c>
      <c r="CA31" s="938"/>
      <c r="CB31" s="853">
        <v>0</v>
      </c>
      <c r="CC31" s="1161">
        <v>0</v>
      </c>
      <c r="CD31" s="1161">
        <v>0</v>
      </c>
      <c r="CE31" s="245">
        <v>0</v>
      </c>
      <c r="CF31" s="245">
        <v>49.583333333333329</v>
      </c>
      <c r="CG31" s="245">
        <v>3.098958333333333</v>
      </c>
      <c r="CH31" s="412" t="s">
        <v>279</v>
      </c>
      <c r="CI31" s="938"/>
      <c r="CJ31" s="853">
        <v>0</v>
      </c>
      <c r="CK31" s="1161">
        <v>3.8888888888888888</v>
      </c>
      <c r="CL31" s="1161">
        <v>0</v>
      </c>
      <c r="CM31" s="245">
        <v>0</v>
      </c>
      <c r="CN31" s="245">
        <v>49.583333333333329</v>
      </c>
      <c r="CO31" s="245">
        <v>3.098958333333333</v>
      </c>
      <c r="CP31" s="412" t="s">
        <v>279</v>
      </c>
      <c r="CQ31" s="938"/>
      <c r="CR31" s="853">
        <v>0</v>
      </c>
      <c r="CS31" s="245">
        <v>3.8888888888888888</v>
      </c>
      <c r="CT31" s="245">
        <v>0</v>
      </c>
      <c r="CU31" s="245">
        <v>0</v>
      </c>
      <c r="CV31" s="245">
        <v>49.583333333333329</v>
      </c>
      <c r="CW31" s="245">
        <v>3.098958333333333</v>
      </c>
      <c r="CX31" s="412" t="s">
        <v>279</v>
      </c>
      <c r="CY31" s="938"/>
      <c r="CZ31" s="853">
        <v>1274.9999999999998</v>
      </c>
      <c r="DA31" s="245">
        <v>3.8888888888888888</v>
      </c>
      <c r="DB31" s="245">
        <v>49.583333333333329</v>
      </c>
      <c r="DC31" s="245">
        <v>3.098958333333333</v>
      </c>
      <c r="DD31" s="245">
        <v>49.583333333333329</v>
      </c>
      <c r="DE31" s="245">
        <v>3.098958333333333</v>
      </c>
      <c r="DF31" s="412" t="s">
        <v>279</v>
      </c>
      <c r="DG31" s="938"/>
      <c r="DH31" s="853">
        <v>0</v>
      </c>
      <c r="DI31" s="1161">
        <v>3.8888888888888888</v>
      </c>
      <c r="DJ31" s="1161">
        <v>0</v>
      </c>
      <c r="DK31" s="245">
        <v>0</v>
      </c>
      <c r="DL31" s="245">
        <v>49.583333333333329</v>
      </c>
      <c r="DM31" s="245">
        <v>3.098958333333333</v>
      </c>
      <c r="DN31" s="412" t="s">
        <v>279</v>
      </c>
      <c r="DO31" s="938"/>
      <c r="DP31" s="853">
        <v>0</v>
      </c>
      <c r="DQ31" s="1161">
        <v>3.8888888888888888</v>
      </c>
      <c r="DR31" s="1161"/>
      <c r="DS31" s="245">
        <v>0</v>
      </c>
      <c r="DT31" s="245">
        <v>49.583333333333329</v>
      </c>
      <c r="DU31" s="245">
        <v>3.098958333333333</v>
      </c>
      <c r="DV31" s="412" t="s">
        <v>279</v>
      </c>
      <c r="DW31" s="938"/>
      <c r="DX31" s="853">
        <v>0</v>
      </c>
      <c r="DY31" s="1161">
        <v>3.8888888888888888</v>
      </c>
      <c r="DZ31" s="1161"/>
      <c r="EA31" s="245">
        <v>0</v>
      </c>
      <c r="EB31" s="245">
        <v>49.583333333333329</v>
      </c>
      <c r="EC31" s="1233">
        <v>3.098958333333333</v>
      </c>
      <c r="ED31" s="1171" t="s">
        <v>279</v>
      </c>
      <c r="EE31" s="1230"/>
      <c r="EF31" s="853">
        <v>0</v>
      </c>
      <c r="EG31" s="245">
        <v>11.666666666666666</v>
      </c>
      <c r="EH31" s="245">
        <v>0</v>
      </c>
      <c r="EI31" s="245">
        <v>0</v>
      </c>
      <c r="EJ31" s="245">
        <v>49.583333333333329</v>
      </c>
      <c r="EK31" s="1233">
        <v>3.098958333333333</v>
      </c>
      <c r="EL31" s="1171" t="s">
        <v>279</v>
      </c>
      <c r="EM31" s="1230"/>
      <c r="EN31" s="853">
        <v>0</v>
      </c>
      <c r="EO31" s="245">
        <v>15.555555555555555</v>
      </c>
      <c r="EP31" s="245">
        <v>0</v>
      </c>
      <c r="EQ31" s="245">
        <v>0</v>
      </c>
      <c r="ER31" s="245">
        <v>49.583333333333329</v>
      </c>
      <c r="ES31" s="1233">
        <v>3.098958333333333</v>
      </c>
      <c r="ET31" s="1171" t="s">
        <v>279</v>
      </c>
      <c r="EU31" s="1230"/>
      <c r="EV31" s="853">
        <v>318.74999999999994</v>
      </c>
      <c r="EW31" s="245">
        <v>15.555555555555555</v>
      </c>
      <c r="EX31" s="245">
        <v>49.583333333333329</v>
      </c>
      <c r="EY31" s="245">
        <v>3.098958333333333</v>
      </c>
      <c r="EZ31" s="367">
        <v>49.583333333333329</v>
      </c>
      <c r="FA31" s="368">
        <v>3.098958333333333</v>
      </c>
      <c r="FB31" s="369" t="s">
        <v>279</v>
      </c>
    </row>
    <row r="32" spans="2:158" ht="20.100000000000001" customHeight="1">
      <c r="B32" s="1733"/>
      <c r="C32" s="1737"/>
      <c r="D32" s="178" t="s">
        <v>10</v>
      </c>
      <c r="E32" s="174" t="s">
        <v>12</v>
      </c>
      <c r="F32" s="250">
        <v>4</v>
      </c>
      <c r="G32" s="251">
        <v>20</v>
      </c>
      <c r="H32" s="1198"/>
      <c r="I32" s="306">
        <v>1</v>
      </c>
      <c r="J32" s="313">
        <v>1</v>
      </c>
      <c r="K32" s="293">
        <v>5</v>
      </c>
      <c r="L32" s="1229"/>
      <c r="M32" s="469">
        <v>1</v>
      </c>
      <c r="N32" s="843">
        <v>1</v>
      </c>
      <c r="O32" s="1230"/>
      <c r="P32" s="465">
        <v>0</v>
      </c>
      <c r="Q32" s="859">
        <v>0</v>
      </c>
      <c r="R32" s="412">
        <v>0</v>
      </c>
      <c r="S32" s="938"/>
      <c r="T32" s="465">
        <v>7.5</v>
      </c>
      <c r="U32" s="245">
        <v>7.4999999999999997E-2</v>
      </c>
      <c r="V32" s="412">
        <v>0.375</v>
      </c>
      <c r="W32" s="938"/>
      <c r="X32" s="465">
        <v>7.5</v>
      </c>
      <c r="Y32" s="245">
        <v>7.4999999999999997E-2</v>
      </c>
      <c r="Z32" s="412">
        <v>0.375</v>
      </c>
      <c r="AA32" s="938"/>
      <c r="AB32" s="465">
        <v>5</v>
      </c>
      <c r="AC32" s="245">
        <v>0.05</v>
      </c>
      <c r="AD32" s="245">
        <v>0.25</v>
      </c>
      <c r="AE32" s="938"/>
      <c r="AF32" s="853">
        <v>0</v>
      </c>
      <c r="AG32" s="1169">
        <v>2</v>
      </c>
      <c r="AH32" s="1169">
        <v>0</v>
      </c>
      <c r="AI32" s="245">
        <v>0</v>
      </c>
      <c r="AJ32" s="245">
        <v>0.05</v>
      </c>
      <c r="AK32" s="245">
        <v>0.25</v>
      </c>
      <c r="AL32" s="412" t="s">
        <v>279</v>
      </c>
      <c r="AM32" s="938"/>
      <c r="AN32" s="853">
        <v>100</v>
      </c>
      <c r="AO32" s="1169">
        <v>2</v>
      </c>
      <c r="AP32" s="1169">
        <v>2</v>
      </c>
      <c r="AQ32" s="245">
        <v>10</v>
      </c>
      <c r="AR32" s="245">
        <v>2.0499999999999998</v>
      </c>
      <c r="AS32" s="245">
        <v>10.25</v>
      </c>
      <c r="AT32" s="412" t="s">
        <v>279</v>
      </c>
      <c r="AU32" s="938"/>
      <c r="AV32" s="853">
        <v>50</v>
      </c>
      <c r="AW32" s="1161">
        <v>2</v>
      </c>
      <c r="AX32" s="1161">
        <v>1</v>
      </c>
      <c r="AY32" s="245">
        <v>5</v>
      </c>
      <c r="AZ32" s="245">
        <v>3.05</v>
      </c>
      <c r="BA32" s="245">
        <v>15.25</v>
      </c>
      <c r="BB32" s="412" t="s">
        <v>279</v>
      </c>
      <c r="BC32" s="938"/>
      <c r="BD32" s="853">
        <v>50</v>
      </c>
      <c r="BE32" s="245">
        <v>6</v>
      </c>
      <c r="BF32" s="245">
        <v>3</v>
      </c>
      <c r="BG32" s="245">
        <v>15</v>
      </c>
      <c r="BH32" s="245">
        <v>3.05</v>
      </c>
      <c r="BI32" s="245">
        <v>15.25</v>
      </c>
      <c r="BJ32" s="412" t="s">
        <v>279</v>
      </c>
      <c r="BK32" s="938"/>
      <c r="BL32" s="853">
        <v>0</v>
      </c>
      <c r="BM32" s="245"/>
      <c r="BN32" s="245">
        <v>3.05</v>
      </c>
      <c r="BO32" s="245">
        <v>15.25</v>
      </c>
      <c r="BP32" s="245">
        <v>3.05</v>
      </c>
      <c r="BQ32" s="245">
        <v>15.25</v>
      </c>
      <c r="BR32" s="412" t="s">
        <v>279</v>
      </c>
      <c r="BS32" s="938"/>
      <c r="BT32" s="853">
        <v>0</v>
      </c>
      <c r="BU32" s="1161">
        <v>0</v>
      </c>
      <c r="BV32" s="1161">
        <v>0</v>
      </c>
      <c r="BW32" s="245">
        <v>0</v>
      </c>
      <c r="BX32" s="245">
        <v>3.05</v>
      </c>
      <c r="BY32" s="245">
        <v>15.25</v>
      </c>
      <c r="BZ32" s="412" t="s">
        <v>279</v>
      </c>
      <c r="CA32" s="938"/>
      <c r="CB32" s="853">
        <v>0</v>
      </c>
      <c r="CC32" s="1169">
        <v>0.1111111111111111</v>
      </c>
      <c r="CD32" s="1161">
        <v>0</v>
      </c>
      <c r="CE32" s="245">
        <v>0</v>
      </c>
      <c r="CF32" s="245">
        <v>3.05</v>
      </c>
      <c r="CG32" s="245">
        <v>15.25</v>
      </c>
      <c r="CH32" s="412" t="s">
        <v>279</v>
      </c>
      <c r="CI32" s="938"/>
      <c r="CJ32" s="853">
        <v>45.000000000000007</v>
      </c>
      <c r="CK32" s="1161">
        <v>0.1111111111111111</v>
      </c>
      <c r="CL32" s="1161">
        <v>0.05</v>
      </c>
      <c r="CM32" s="245">
        <v>0.25</v>
      </c>
      <c r="CN32" s="245">
        <v>3.0999999999999996</v>
      </c>
      <c r="CO32" s="245">
        <v>15.499999999999998</v>
      </c>
      <c r="CP32" s="412" t="s">
        <v>279</v>
      </c>
      <c r="CQ32" s="938"/>
      <c r="CR32" s="853">
        <v>22.500000000000004</v>
      </c>
      <c r="CS32" s="245">
        <v>0.22222222222222221</v>
      </c>
      <c r="CT32" s="245">
        <v>0.05</v>
      </c>
      <c r="CU32" s="245">
        <v>0.25</v>
      </c>
      <c r="CV32" s="245">
        <v>3.0999999999999996</v>
      </c>
      <c r="CW32" s="245">
        <v>15.499999999999998</v>
      </c>
      <c r="CX32" s="412" t="s">
        <v>279</v>
      </c>
      <c r="CY32" s="938"/>
      <c r="CZ32" s="853">
        <v>1395</v>
      </c>
      <c r="DA32" s="245">
        <v>0.22222222222222221</v>
      </c>
      <c r="DB32" s="245">
        <v>3.0999999999999996</v>
      </c>
      <c r="DC32" s="245">
        <v>15.499999999999998</v>
      </c>
      <c r="DD32" s="245">
        <v>3.0999999999999996</v>
      </c>
      <c r="DE32" s="245">
        <v>15.499999999999998</v>
      </c>
      <c r="DF32" s="412" t="s">
        <v>279</v>
      </c>
      <c r="DG32" s="938"/>
      <c r="DH32" s="853">
        <v>47.250000000000007</v>
      </c>
      <c r="DI32" s="1161">
        <v>0.1111111111111111</v>
      </c>
      <c r="DJ32" s="1161">
        <v>5.2500000000000005E-2</v>
      </c>
      <c r="DK32" s="245">
        <v>0.26250000000000001</v>
      </c>
      <c r="DL32" s="245">
        <v>3.1524999999999999</v>
      </c>
      <c r="DM32" s="245">
        <v>15.762499999999999</v>
      </c>
      <c r="DN32" s="412" t="s">
        <v>279</v>
      </c>
      <c r="DO32" s="938"/>
      <c r="DP32" s="853">
        <v>0</v>
      </c>
      <c r="DQ32" s="1161">
        <v>0.1111111111111111</v>
      </c>
      <c r="DR32" s="1161"/>
      <c r="DS32" s="245">
        <v>0</v>
      </c>
      <c r="DT32" s="245">
        <v>3.1524999999999999</v>
      </c>
      <c r="DU32" s="245">
        <v>15.762499999999999</v>
      </c>
      <c r="DV32" s="412" t="s">
        <v>279</v>
      </c>
      <c r="DW32" s="938"/>
      <c r="DX32" s="853">
        <v>0</v>
      </c>
      <c r="DY32" s="1161">
        <v>0.1111111111111111</v>
      </c>
      <c r="DZ32" s="1161"/>
      <c r="EA32" s="245">
        <v>0</v>
      </c>
      <c r="EB32" s="245">
        <v>3.1524999999999999</v>
      </c>
      <c r="EC32" s="1233">
        <v>15.762499999999999</v>
      </c>
      <c r="ED32" s="1171" t="s">
        <v>279</v>
      </c>
      <c r="EE32" s="1230"/>
      <c r="EF32" s="853">
        <v>15.750000000000004</v>
      </c>
      <c r="EG32" s="245">
        <v>0.33333333333333331</v>
      </c>
      <c r="EH32" s="245">
        <v>5.2500000000000005E-2</v>
      </c>
      <c r="EI32" s="245">
        <v>0.26250000000000001</v>
      </c>
      <c r="EJ32" s="245">
        <v>3.1524999999999999</v>
      </c>
      <c r="EK32" s="1233">
        <v>15.762499999999999</v>
      </c>
      <c r="EL32" s="1171" t="s">
        <v>279</v>
      </c>
      <c r="EM32" s="1230"/>
      <c r="EN32" s="853">
        <v>18.45</v>
      </c>
      <c r="EO32" s="245">
        <v>0.55555555555555558</v>
      </c>
      <c r="EP32" s="245">
        <v>0.10250000000000001</v>
      </c>
      <c r="EQ32" s="245">
        <v>0.51250000000000007</v>
      </c>
      <c r="ER32" s="245">
        <v>3.1524999999999999</v>
      </c>
      <c r="ES32" s="1233">
        <v>15.762499999999999</v>
      </c>
      <c r="ET32" s="1171" t="s">
        <v>279</v>
      </c>
      <c r="EU32" s="1230"/>
      <c r="EV32" s="853">
        <v>567.44999999999993</v>
      </c>
      <c r="EW32" s="245">
        <v>0.55555555555555558</v>
      </c>
      <c r="EX32" s="245">
        <v>3.1524999999999999</v>
      </c>
      <c r="EY32" s="245">
        <v>15.762499999999999</v>
      </c>
      <c r="EZ32" s="367">
        <v>3.1524999999999999</v>
      </c>
      <c r="FA32" s="368">
        <v>15.762499999999999</v>
      </c>
      <c r="FB32" s="369" t="s">
        <v>279</v>
      </c>
    </row>
    <row r="33" spans="2:158" ht="20.100000000000001" customHeight="1">
      <c r="B33" s="1733"/>
      <c r="C33" s="1737"/>
      <c r="D33" s="178" t="s">
        <v>213</v>
      </c>
      <c r="E33" s="174" t="s">
        <v>12</v>
      </c>
      <c r="F33" s="250">
        <v>4</v>
      </c>
      <c r="G33" s="251">
        <v>40</v>
      </c>
      <c r="H33" s="1198"/>
      <c r="I33" s="306">
        <v>1</v>
      </c>
      <c r="J33" s="313">
        <v>0.8</v>
      </c>
      <c r="K33" s="293">
        <v>8</v>
      </c>
      <c r="L33" s="1229"/>
      <c r="M33" s="469">
        <v>1</v>
      </c>
      <c r="N33" s="843">
        <v>1</v>
      </c>
      <c r="O33" s="1230"/>
      <c r="P33" s="465">
        <v>0</v>
      </c>
      <c r="Q33" s="859">
        <v>0</v>
      </c>
      <c r="R33" s="412">
        <v>0</v>
      </c>
      <c r="S33" s="938"/>
      <c r="T33" s="465">
        <v>5</v>
      </c>
      <c r="U33" s="245">
        <v>0.05</v>
      </c>
      <c r="V33" s="412">
        <v>0.5</v>
      </c>
      <c r="W33" s="938"/>
      <c r="X33" s="465">
        <v>6</v>
      </c>
      <c r="Y33" s="245">
        <v>0.06</v>
      </c>
      <c r="Z33" s="412">
        <v>0.6</v>
      </c>
      <c r="AA33" s="938"/>
      <c r="AB33" s="465">
        <v>3.6666666666666665</v>
      </c>
      <c r="AC33" s="245">
        <v>3.6666666666666667E-2</v>
      </c>
      <c r="AD33" s="245">
        <v>0.3666666666666667</v>
      </c>
      <c r="AE33" s="938"/>
      <c r="AF33" s="853">
        <v>0</v>
      </c>
      <c r="AG33" s="1169">
        <v>1</v>
      </c>
      <c r="AH33" s="1169">
        <v>0</v>
      </c>
      <c r="AI33" s="245">
        <v>0</v>
      </c>
      <c r="AJ33" s="245">
        <v>3.6666666666666667E-2</v>
      </c>
      <c r="AK33" s="245">
        <v>0.3666666666666667</v>
      </c>
      <c r="AL33" s="412" t="s">
        <v>279</v>
      </c>
      <c r="AM33" s="938"/>
      <c r="AN33" s="853">
        <v>0</v>
      </c>
      <c r="AO33" s="1169">
        <v>1</v>
      </c>
      <c r="AP33" s="1169">
        <v>0</v>
      </c>
      <c r="AQ33" s="245">
        <v>0</v>
      </c>
      <c r="AR33" s="245">
        <v>3.6666666666666667E-2</v>
      </c>
      <c r="AS33" s="245">
        <v>0.3666666666666667</v>
      </c>
      <c r="AT33" s="412" t="s">
        <v>279</v>
      </c>
      <c r="AU33" s="938"/>
      <c r="AV33" s="853">
        <v>100</v>
      </c>
      <c r="AW33" s="1161">
        <v>1</v>
      </c>
      <c r="AX33" s="1161">
        <v>1</v>
      </c>
      <c r="AY33" s="245">
        <v>10</v>
      </c>
      <c r="AZ33" s="245">
        <v>1.0366666666666666</v>
      </c>
      <c r="BA33" s="245">
        <v>10.366666666666667</v>
      </c>
      <c r="BB33" s="412" t="s">
        <v>279</v>
      </c>
      <c r="BC33" s="938"/>
      <c r="BD33" s="853">
        <v>33.333333333333329</v>
      </c>
      <c r="BE33" s="245">
        <v>3</v>
      </c>
      <c r="BF33" s="245">
        <v>1</v>
      </c>
      <c r="BG33" s="245">
        <v>10</v>
      </c>
      <c r="BH33" s="245">
        <v>1.0366666666666666</v>
      </c>
      <c r="BI33" s="245">
        <v>10.366666666666667</v>
      </c>
      <c r="BJ33" s="412" t="s">
        <v>279</v>
      </c>
      <c r="BK33" s="938"/>
      <c r="BL33" s="853">
        <v>0</v>
      </c>
      <c r="BM33" s="245"/>
      <c r="BN33" s="245">
        <v>1.0366666666666666</v>
      </c>
      <c r="BO33" s="245">
        <v>10.366666666666667</v>
      </c>
      <c r="BP33" s="245">
        <v>1.0366666666666666</v>
      </c>
      <c r="BQ33" s="245">
        <v>10.366666666666667</v>
      </c>
      <c r="BR33" s="412" t="s">
        <v>279</v>
      </c>
      <c r="BS33" s="938"/>
      <c r="BT33" s="853">
        <v>0</v>
      </c>
      <c r="BU33" s="1161">
        <v>0</v>
      </c>
      <c r="BV33" s="1161">
        <v>0</v>
      </c>
      <c r="BW33" s="245">
        <v>0</v>
      </c>
      <c r="BX33" s="245">
        <v>1.0366666666666666</v>
      </c>
      <c r="BY33" s="245">
        <v>10.366666666666667</v>
      </c>
      <c r="BZ33" s="412" t="s">
        <v>279</v>
      </c>
      <c r="CA33" s="938"/>
      <c r="CB33" s="853">
        <v>0</v>
      </c>
      <c r="CC33" s="1169">
        <v>0.1111111111111111</v>
      </c>
      <c r="CD33" s="1161">
        <v>0</v>
      </c>
      <c r="CE33" s="245">
        <v>0</v>
      </c>
      <c r="CF33" s="245">
        <v>1.0366666666666666</v>
      </c>
      <c r="CG33" s="245">
        <v>10.366666666666667</v>
      </c>
      <c r="CH33" s="412" t="s">
        <v>279</v>
      </c>
      <c r="CI33" s="938"/>
      <c r="CJ33" s="853">
        <v>0</v>
      </c>
      <c r="CK33" s="1161">
        <v>0.1111111111111111</v>
      </c>
      <c r="CL33" s="1161">
        <v>0</v>
      </c>
      <c r="CM33" s="245">
        <v>0</v>
      </c>
      <c r="CN33" s="245">
        <v>1.0366666666666666</v>
      </c>
      <c r="CO33" s="245">
        <v>10.366666666666667</v>
      </c>
      <c r="CP33" s="412" t="s">
        <v>279</v>
      </c>
      <c r="CQ33" s="938"/>
      <c r="CR33" s="853">
        <v>0</v>
      </c>
      <c r="CS33" s="245">
        <v>0.22222222222222221</v>
      </c>
      <c r="CT33" s="245">
        <v>0</v>
      </c>
      <c r="CU33" s="245">
        <v>0</v>
      </c>
      <c r="CV33" s="245">
        <v>1.0366666666666666</v>
      </c>
      <c r="CW33" s="245">
        <v>10.366666666666667</v>
      </c>
      <c r="CX33" s="412" t="s">
        <v>279</v>
      </c>
      <c r="CY33" s="938"/>
      <c r="CZ33" s="853">
        <v>466.5</v>
      </c>
      <c r="DA33" s="245">
        <v>0.22222222222222221</v>
      </c>
      <c r="DB33" s="245">
        <v>1.0366666666666666</v>
      </c>
      <c r="DC33" s="245">
        <v>10.366666666666667</v>
      </c>
      <c r="DD33" s="245">
        <v>1.0366666666666666</v>
      </c>
      <c r="DE33" s="245">
        <v>10.366666666666667</v>
      </c>
      <c r="DF33" s="412" t="s">
        <v>279</v>
      </c>
      <c r="DG33" s="938"/>
      <c r="DH33" s="853">
        <v>0</v>
      </c>
      <c r="DI33" s="1161">
        <v>0.1111111111111111</v>
      </c>
      <c r="DJ33" s="1161">
        <v>0</v>
      </c>
      <c r="DK33" s="245">
        <v>0</v>
      </c>
      <c r="DL33" s="245">
        <v>1.0366666666666666</v>
      </c>
      <c r="DM33" s="245">
        <v>10.366666666666667</v>
      </c>
      <c r="DN33" s="412" t="s">
        <v>279</v>
      </c>
      <c r="DO33" s="938"/>
      <c r="DP33" s="853">
        <v>0</v>
      </c>
      <c r="DQ33" s="1161">
        <v>0.1111111111111111</v>
      </c>
      <c r="DR33" s="1161"/>
      <c r="DS33" s="245">
        <v>0</v>
      </c>
      <c r="DT33" s="245">
        <v>1.0366666666666666</v>
      </c>
      <c r="DU33" s="245">
        <v>10.366666666666667</v>
      </c>
      <c r="DV33" s="412" t="s">
        <v>279</v>
      </c>
      <c r="DW33" s="938"/>
      <c r="DX33" s="853">
        <v>0</v>
      </c>
      <c r="DY33" s="1161">
        <v>0.1111111111111111</v>
      </c>
      <c r="DZ33" s="1161"/>
      <c r="EA33" s="245">
        <v>0</v>
      </c>
      <c r="EB33" s="245">
        <v>1.0366666666666666</v>
      </c>
      <c r="EC33" s="1233">
        <v>10.366666666666667</v>
      </c>
      <c r="ED33" s="1171" t="s">
        <v>279</v>
      </c>
      <c r="EE33" s="1230"/>
      <c r="EF33" s="853">
        <v>0</v>
      </c>
      <c r="EG33" s="245">
        <v>0.33333333333333331</v>
      </c>
      <c r="EH33" s="245">
        <v>0</v>
      </c>
      <c r="EI33" s="245">
        <v>0</v>
      </c>
      <c r="EJ33" s="245">
        <v>1.0366666666666666</v>
      </c>
      <c r="EK33" s="1233">
        <v>10.366666666666667</v>
      </c>
      <c r="EL33" s="1171" t="s">
        <v>279</v>
      </c>
      <c r="EM33" s="1230"/>
      <c r="EN33" s="853">
        <v>0</v>
      </c>
      <c r="EO33" s="245">
        <v>0.55555555555555558</v>
      </c>
      <c r="EP33" s="245">
        <v>0</v>
      </c>
      <c r="EQ33" s="245">
        <v>0</v>
      </c>
      <c r="ER33" s="245">
        <v>1.0366666666666666</v>
      </c>
      <c r="ES33" s="1233">
        <v>10.366666666666667</v>
      </c>
      <c r="ET33" s="1171" t="s">
        <v>279</v>
      </c>
      <c r="EU33" s="1230"/>
      <c r="EV33" s="853">
        <v>186.6</v>
      </c>
      <c r="EW33" s="245">
        <v>0.55555555555555558</v>
      </c>
      <c r="EX33" s="245">
        <v>1.0366666666666666</v>
      </c>
      <c r="EY33" s="245">
        <v>10.366666666666667</v>
      </c>
      <c r="EZ33" s="367">
        <v>1.0366666666666666</v>
      </c>
      <c r="FA33" s="368">
        <v>10.366666666666667</v>
      </c>
      <c r="FB33" s="369" t="s">
        <v>279</v>
      </c>
    </row>
    <row r="34" spans="2:158" ht="20.100000000000001" customHeight="1">
      <c r="B34" s="1733"/>
      <c r="C34" s="1737"/>
      <c r="D34" s="178" t="s">
        <v>219</v>
      </c>
      <c r="E34" s="174" t="s">
        <v>11</v>
      </c>
      <c r="F34" s="250">
        <v>80</v>
      </c>
      <c r="G34" s="251">
        <v>25</v>
      </c>
      <c r="H34" s="1198"/>
      <c r="I34" s="306">
        <v>20</v>
      </c>
      <c r="J34" s="313">
        <v>0.2016</v>
      </c>
      <c r="K34" s="293">
        <v>6.3E-2</v>
      </c>
      <c r="L34" s="1229"/>
      <c r="M34" s="469">
        <v>35</v>
      </c>
      <c r="N34" s="843">
        <v>54.798400000000001</v>
      </c>
      <c r="O34" s="1230"/>
      <c r="P34" s="465">
        <v>0</v>
      </c>
      <c r="Q34" s="859">
        <v>0</v>
      </c>
      <c r="R34" s="412">
        <v>0</v>
      </c>
      <c r="S34" s="938"/>
      <c r="T34" s="465">
        <v>0</v>
      </c>
      <c r="U34" s="245">
        <v>0</v>
      </c>
      <c r="V34" s="412">
        <v>0</v>
      </c>
      <c r="W34" s="938"/>
      <c r="X34" s="465">
        <v>0</v>
      </c>
      <c r="Y34" s="245">
        <v>0</v>
      </c>
      <c r="Z34" s="412">
        <v>0</v>
      </c>
      <c r="AA34" s="938"/>
      <c r="AB34" s="465">
        <v>0</v>
      </c>
      <c r="AC34" s="245">
        <v>0</v>
      </c>
      <c r="AD34" s="245">
        <v>0</v>
      </c>
      <c r="AE34" s="938"/>
      <c r="AF34" s="853">
        <v>0</v>
      </c>
      <c r="AG34" s="1169">
        <v>55</v>
      </c>
      <c r="AH34" s="1169">
        <v>0</v>
      </c>
      <c r="AI34" s="245">
        <v>0</v>
      </c>
      <c r="AJ34" s="245">
        <v>0</v>
      </c>
      <c r="AK34" s="245">
        <v>0</v>
      </c>
      <c r="AL34" s="412" t="s">
        <v>279</v>
      </c>
      <c r="AM34" s="938"/>
      <c r="AN34" s="853">
        <v>0</v>
      </c>
      <c r="AO34" s="1169">
        <v>54.8</v>
      </c>
      <c r="AP34" s="1169">
        <v>0</v>
      </c>
      <c r="AQ34" s="245">
        <v>0</v>
      </c>
      <c r="AR34" s="245">
        <v>0</v>
      </c>
      <c r="AS34" s="245">
        <v>0</v>
      </c>
      <c r="AT34" s="412" t="s">
        <v>279</v>
      </c>
      <c r="AU34" s="938"/>
      <c r="AV34" s="853">
        <v>0</v>
      </c>
      <c r="AW34" s="1161">
        <v>54</v>
      </c>
      <c r="AX34" s="1161">
        <v>0</v>
      </c>
      <c r="AY34" s="245">
        <v>0</v>
      </c>
      <c r="AZ34" s="245">
        <v>0</v>
      </c>
      <c r="BA34" s="245">
        <v>0</v>
      </c>
      <c r="BB34" s="412" t="s">
        <v>279</v>
      </c>
      <c r="BC34" s="938"/>
      <c r="BD34" s="853">
        <v>0</v>
      </c>
      <c r="BE34" s="245">
        <v>163.80000000000001</v>
      </c>
      <c r="BF34" s="245">
        <v>0</v>
      </c>
      <c r="BG34" s="245">
        <v>0</v>
      </c>
      <c r="BH34" s="245">
        <v>0</v>
      </c>
      <c r="BI34" s="245">
        <v>0</v>
      </c>
      <c r="BJ34" s="412" t="s">
        <v>279</v>
      </c>
      <c r="BK34" s="938"/>
      <c r="BL34" s="853">
        <v>0</v>
      </c>
      <c r="BM34" s="245"/>
      <c r="BN34" s="245">
        <v>0</v>
      </c>
      <c r="BO34" s="245">
        <v>0</v>
      </c>
      <c r="BP34" s="245">
        <v>0</v>
      </c>
      <c r="BQ34" s="245">
        <v>0</v>
      </c>
      <c r="BR34" s="412" t="s">
        <v>279</v>
      </c>
      <c r="BS34" s="938"/>
      <c r="BT34" s="853">
        <v>0</v>
      </c>
      <c r="BU34" s="1161">
        <v>0</v>
      </c>
      <c r="BV34" s="1161">
        <v>0</v>
      </c>
      <c r="BW34" s="245">
        <v>0</v>
      </c>
      <c r="BX34" s="245">
        <v>0</v>
      </c>
      <c r="BY34" s="245">
        <v>0</v>
      </c>
      <c r="BZ34" s="412" t="s">
        <v>279</v>
      </c>
      <c r="CA34" s="938"/>
      <c r="CB34" s="853">
        <v>0</v>
      </c>
      <c r="CC34" s="1161">
        <v>6.0887111111111114</v>
      </c>
      <c r="CD34" s="1161">
        <v>0</v>
      </c>
      <c r="CE34" s="245">
        <v>0</v>
      </c>
      <c r="CF34" s="245">
        <v>0</v>
      </c>
      <c r="CG34" s="245">
        <v>0</v>
      </c>
      <c r="CH34" s="412" t="s">
        <v>279</v>
      </c>
      <c r="CI34" s="938"/>
      <c r="CJ34" s="853">
        <v>8.2119185961633914</v>
      </c>
      <c r="CK34" s="1161">
        <v>6.0887111111111114</v>
      </c>
      <c r="CL34" s="1161">
        <v>0.5</v>
      </c>
      <c r="CM34" s="245">
        <v>0.15625</v>
      </c>
      <c r="CN34" s="245">
        <v>0.5</v>
      </c>
      <c r="CO34" s="245">
        <v>0.15625</v>
      </c>
      <c r="CP34" s="412" t="s">
        <v>279</v>
      </c>
      <c r="CQ34" s="938"/>
      <c r="CR34" s="853">
        <v>4.1059592980816957</v>
      </c>
      <c r="CS34" s="245">
        <v>12.177422222222223</v>
      </c>
      <c r="CT34" s="245">
        <v>0.5</v>
      </c>
      <c r="CU34" s="245">
        <v>0.15625</v>
      </c>
      <c r="CV34" s="245">
        <v>0.5</v>
      </c>
      <c r="CW34" s="245">
        <v>0.15625</v>
      </c>
      <c r="CX34" s="412" t="s">
        <v>279</v>
      </c>
      <c r="CY34" s="938"/>
      <c r="CZ34" s="853">
        <v>4.1059592980816957</v>
      </c>
      <c r="DA34" s="245">
        <v>12.177422222222223</v>
      </c>
      <c r="DB34" s="245">
        <v>0.5</v>
      </c>
      <c r="DC34" s="245">
        <v>0.15625</v>
      </c>
      <c r="DD34" s="245">
        <v>0.5</v>
      </c>
      <c r="DE34" s="245">
        <v>0.15625</v>
      </c>
      <c r="DF34" s="412" t="s">
        <v>279</v>
      </c>
      <c r="DG34" s="938"/>
      <c r="DH34" s="853">
        <v>8.6225145259715621</v>
      </c>
      <c r="DI34" s="1161">
        <v>6.0887111111111114</v>
      </c>
      <c r="DJ34" s="1161">
        <v>0.52500000000000002</v>
      </c>
      <c r="DK34" s="245">
        <v>0.1640625</v>
      </c>
      <c r="DL34" s="245">
        <v>1.0249999999999999</v>
      </c>
      <c r="DM34" s="245">
        <v>0.3203125</v>
      </c>
      <c r="DN34" s="412" t="s">
        <v>279</v>
      </c>
      <c r="DO34" s="938"/>
      <c r="DP34" s="853">
        <v>0</v>
      </c>
      <c r="DQ34" s="1161">
        <v>6.0887111111111114</v>
      </c>
      <c r="DR34" s="1161"/>
      <c r="DS34" s="245">
        <v>0</v>
      </c>
      <c r="DT34" s="245">
        <v>1.0249999999999999</v>
      </c>
      <c r="DU34" s="245">
        <v>0.3203125</v>
      </c>
      <c r="DV34" s="412" t="s">
        <v>279</v>
      </c>
      <c r="DW34" s="938"/>
      <c r="DX34" s="853">
        <v>0</v>
      </c>
      <c r="DY34" s="1161">
        <v>6.0887111111111114</v>
      </c>
      <c r="DZ34" s="1161"/>
      <c r="EA34" s="245">
        <v>0</v>
      </c>
      <c r="EB34" s="245">
        <v>1.0249999999999999</v>
      </c>
      <c r="EC34" s="1233">
        <v>0.3203125</v>
      </c>
      <c r="ED34" s="1171" t="s">
        <v>279</v>
      </c>
      <c r="EE34" s="1230"/>
      <c r="EF34" s="853">
        <v>2.8741715086571871</v>
      </c>
      <c r="EG34" s="245">
        <v>18.266133333333336</v>
      </c>
      <c r="EH34" s="245">
        <v>0.52500000000000002</v>
      </c>
      <c r="EI34" s="245">
        <v>0.1640625</v>
      </c>
      <c r="EJ34" s="245">
        <v>1.0249999999999999</v>
      </c>
      <c r="EK34" s="1233">
        <v>0.3203125</v>
      </c>
      <c r="EL34" s="1171" t="s">
        <v>279</v>
      </c>
      <c r="EM34" s="1230"/>
      <c r="EN34" s="853">
        <v>3.3668866244269902</v>
      </c>
      <c r="EO34" s="245">
        <v>30.443555555555559</v>
      </c>
      <c r="EP34" s="245">
        <v>1.0249999999999999</v>
      </c>
      <c r="EQ34" s="245">
        <v>0.3203125</v>
      </c>
      <c r="ER34" s="245">
        <v>1.0249999999999999</v>
      </c>
      <c r="ES34" s="1233">
        <v>0.3203125</v>
      </c>
      <c r="ET34" s="1171" t="s">
        <v>279</v>
      </c>
      <c r="EU34" s="1230"/>
      <c r="EV34" s="853">
        <v>3.3668866244269902</v>
      </c>
      <c r="EW34" s="245">
        <v>30.443555555555559</v>
      </c>
      <c r="EX34" s="245">
        <v>1.0249999999999999</v>
      </c>
      <c r="EY34" s="245">
        <v>0.3203125</v>
      </c>
      <c r="EZ34" s="367">
        <v>1.0249999999999999</v>
      </c>
      <c r="FA34" s="368">
        <v>0.3203125</v>
      </c>
      <c r="FB34" s="369" t="s">
        <v>279</v>
      </c>
    </row>
    <row r="35" spans="2:158" ht="20.100000000000001" customHeight="1">
      <c r="B35" s="1734"/>
      <c r="C35" s="1738"/>
      <c r="D35" s="178" t="s">
        <v>208</v>
      </c>
      <c r="E35" s="174" t="s">
        <v>12</v>
      </c>
      <c r="F35" s="250">
        <v>80</v>
      </c>
      <c r="G35" s="251">
        <v>5</v>
      </c>
      <c r="H35" s="1198"/>
      <c r="I35" s="449">
        <v>20</v>
      </c>
      <c r="J35" s="313">
        <v>0</v>
      </c>
      <c r="K35" s="293">
        <v>0</v>
      </c>
      <c r="L35" s="1229"/>
      <c r="M35" s="469">
        <v>35</v>
      </c>
      <c r="N35" s="843">
        <v>55</v>
      </c>
      <c r="O35" s="1230"/>
      <c r="P35" s="465">
        <v>0</v>
      </c>
      <c r="Q35" s="859">
        <v>0</v>
      </c>
      <c r="R35" s="412">
        <v>0</v>
      </c>
      <c r="S35" s="938"/>
      <c r="T35" s="465">
        <v>0</v>
      </c>
      <c r="U35" s="245">
        <v>0</v>
      </c>
      <c r="V35" s="412">
        <v>0</v>
      </c>
      <c r="W35" s="938"/>
      <c r="X35" s="465">
        <v>0</v>
      </c>
      <c r="Y35" s="245">
        <v>0</v>
      </c>
      <c r="Z35" s="412">
        <v>0</v>
      </c>
      <c r="AA35" s="938"/>
      <c r="AB35" s="465">
        <v>0</v>
      </c>
      <c r="AC35" s="245">
        <v>0</v>
      </c>
      <c r="AD35" s="245">
        <v>0</v>
      </c>
      <c r="AE35" s="938"/>
      <c r="AF35" s="853">
        <v>0</v>
      </c>
      <c r="AG35" s="1169">
        <v>20</v>
      </c>
      <c r="AH35" s="1169">
        <v>0</v>
      </c>
      <c r="AI35" s="245">
        <v>0</v>
      </c>
      <c r="AJ35" s="245">
        <v>0</v>
      </c>
      <c r="AK35" s="245">
        <v>0</v>
      </c>
      <c r="AL35" s="412" t="s">
        <v>279</v>
      </c>
      <c r="AM35" s="938"/>
      <c r="AN35" s="853">
        <v>0</v>
      </c>
      <c r="AO35" s="1169">
        <v>20</v>
      </c>
      <c r="AP35" s="1169">
        <v>0</v>
      </c>
      <c r="AQ35" s="245">
        <v>0</v>
      </c>
      <c r="AR35" s="245">
        <v>0</v>
      </c>
      <c r="AS35" s="245">
        <v>0</v>
      </c>
      <c r="AT35" s="412" t="s">
        <v>279</v>
      </c>
      <c r="AU35" s="938"/>
      <c r="AV35" s="853">
        <v>0</v>
      </c>
      <c r="AW35" s="1161">
        <v>20</v>
      </c>
      <c r="AX35" s="1161">
        <v>0</v>
      </c>
      <c r="AY35" s="245">
        <v>0</v>
      </c>
      <c r="AZ35" s="245">
        <v>0</v>
      </c>
      <c r="BA35" s="245">
        <v>0</v>
      </c>
      <c r="BB35" s="412" t="s">
        <v>279</v>
      </c>
      <c r="BC35" s="938"/>
      <c r="BD35" s="853">
        <v>0</v>
      </c>
      <c r="BE35" s="245">
        <v>60</v>
      </c>
      <c r="BF35" s="245">
        <v>0</v>
      </c>
      <c r="BG35" s="245">
        <v>0</v>
      </c>
      <c r="BH35" s="245">
        <v>0</v>
      </c>
      <c r="BI35" s="245">
        <v>0</v>
      </c>
      <c r="BJ35" s="412" t="s">
        <v>279</v>
      </c>
      <c r="BK35" s="938"/>
      <c r="BL35" s="853">
        <v>0</v>
      </c>
      <c r="BM35" s="245"/>
      <c r="BN35" s="245">
        <v>0</v>
      </c>
      <c r="BO35" s="245">
        <v>0</v>
      </c>
      <c r="BP35" s="245">
        <v>0</v>
      </c>
      <c r="BQ35" s="245">
        <v>0</v>
      </c>
      <c r="BR35" s="412" t="s">
        <v>279</v>
      </c>
      <c r="BS35" s="938"/>
      <c r="BT35" s="853">
        <v>0</v>
      </c>
      <c r="BU35" s="1161">
        <v>0</v>
      </c>
      <c r="BV35" s="1161">
        <v>0</v>
      </c>
      <c r="BW35" s="245">
        <v>0</v>
      </c>
      <c r="BX35" s="245">
        <v>0</v>
      </c>
      <c r="BY35" s="245">
        <v>0</v>
      </c>
      <c r="BZ35" s="412" t="s">
        <v>279</v>
      </c>
      <c r="CA35" s="938"/>
      <c r="CB35" s="853">
        <v>0</v>
      </c>
      <c r="CC35" s="1161">
        <v>6.1111111111111107</v>
      </c>
      <c r="CD35" s="1161">
        <v>0</v>
      </c>
      <c r="CE35" s="245">
        <v>0</v>
      </c>
      <c r="CF35" s="245">
        <v>0</v>
      </c>
      <c r="CG35" s="245">
        <v>0</v>
      </c>
      <c r="CH35" s="412" t="s">
        <v>279</v>
      </c>
      <c r="CI35" s="938"/>
      <c r="CJ35" s="853">
        <v>0</v>
      </c>
      <c r="CK35" s="1161">
        <v>6.1111111111111107</v>
      </c>
      <c r="CL35" s="1161">
        <v>0</v>
      </c>
      <c r="CM35" s="245">
        <v>0</v>
      </c>
      <c r="CN35" s="245">
        <v>0</v>
      </c>
      <c r="CO35" s="245">
        <v>0</v>
      </c>
      <c r="CP35" s="412" t="s">
        <v>279</v>
      </c>
      <c r="CQ35" s="938"/>
      <c r="CR35" s="853">
        <v>0</v>
      </c>
      <c r="CS35" s="245">
        <v>12.222222222222221</v>
      </c>
      <c r="CT35" s="245">
        <v>0</v>
      </c>
      <c r="CU35" s="245">
        <v>0</v>
      </c>
      <c r="CV35" s="245">
        <v>0</v>
      </c>
      <c r="CW35" s="245">
        <v>0</v>
      </c>
      <c r="CX35" s="412" t="s">
        <v>279</v>
      </c>
      <c r="CY35" s="938"/>
      <c r="CZ35" s="853">
        <v>0</v>
      </c>
      <c r="DA35" s="245">
        <v>12.222222222222221</v>
      </c>
      <c r="DB35" s="245">
        <v>0</v>
      </c>
      <c r="DC35" s="245">
        <v>0</v>
      </c>
      <c r="DD35" s="245">
        <v>0</v>
      </c>
      <c r="DE35" s="245">
        <v>0</v>
      </c>
      <c r="DF35" s="412" t="s">
        <v>279</v>
      </c>
      <c r="DG35" s="938"/>
      <c r="DH35" s="853">
        <v>0</v>
      </c>
      <c r="DI35" s="1161">
        <v>6.1111111111111107</v>
      </c>
      <c r="DJ35" s="1161">
        <v>0</v>
      </c>
      <c r="DK35" s="245">
        <v>0</v>
      </c>
      <c r="DL35" s="245">
        <v>0</v>
      </c>
      <c r="DM35" s="245">
        <v>0</v>
      </c>
      <c r="DN35" s="412" t="s">
        <v>279</v>
      </c>
      <c r="DO35" s="938"/>
      <c r="DP35" s="853">
        <v>0</v>
      </c>
      <c r="DQ35" s="1161">
        <v>6.1111111111111107</v>
      </c>
      <c r="DR35" s="1161"/>
      <c r="DS35" s="245">
        <v>0</v>
      </c>
      <c r="DT35" s="245">
        <v>0</v>
      </c>
      <c r="DU35" s="245">
        <v>0</v>
      </c>
      <c r="DV35" s="412" t="s">
        <v>279</v>
      </c>
      <c r="DW35" s="938"/>
      <c r="DX35" s="853">
        <v>0</v>
      </c>
      <c r="DY35" s="1161">
        <v>6.1111111111111107</v>
      </c>
      <c r="DZ35" s="1161"/>
      <c r="EA35" s="245">
        <v>0</v>
      </c>
      <c r="EB35" s="245">
        <v>0</v>
      </c>
      <c r="EC35" s="1233">
        <v>0</v>
      </c>
      <c r="ED35" s="1171" t="s">
        <v>279</v>
      </c>
      <c r="EE35" s="1230"/>
      <c r="EF35" s="853">
        <v>0</v>
      </c>
      <c r="EG35" s="245">
        <v>18.333333333333332</v>
      </c>
      <c r="EH35" s="245">
        <v>0</v>
      </c>
      <c r="EI35" s="245">
        <v>0</v>
      </c>
      <c r="EJ35" s="245">
        <v>0</v>
      </c>
      <c r="EK35" s="1233">
        <v>0</v>
      </c>
      <c r="EL35" s="1171" t="s">
        <v>279</v>
      </c>
      <c r="EM35" s="1230"/>
      <c r="EN35" s="853">
        <v>0</v>
      </c>
      <c r="EO35" s="245">
        <v>30.555555555555554</v>
      </c>
      <c r="EP35" s="245">
        <v>0</v>
      </c>
      <c r="EQ35" s="245">
        <v>0</v>
      </c>
      <c r="ER35" s="245">
        <v>0</v>
      </c>
      <c r="ES35" s="1233">
        <v>0</v>
      </c>
      <c r="ET35" s="1171" t="s">
        <v>279</v>
      </c>
      <c r="EU35" s="1230"/>
      <c r="EV35" s="853">
        <v>0</v>
      </c>
      <c r="EW35" s="245">
        <v>30.555555555555554</v>
      </c>
      <c r="EX35" s="245">
        <v>0</v>
      </c>
      <c r="EY35" s="245">
        <v>0</v>
      </c>
      <c r="EZ35" s="367">
        <v>0</v>
      </c>
      <c r="FA35" s="368">
        <v>0</v>
      </c>
      <c r="FB35" s="369" t="s">
        <v>279</v>
      </c>
    </row>
    <row r="36" spans="2:158" ht="20.100000000000001" customHeight="1" thickBot="1">
      <c r="B36" s="1749"/>
      <c r="C36" s="1751"/>
      <c r="D36" s="183" t="s">
        <v>14</v>
      </c>
      <c r="E36" s="184"/>
      <c r="F36" s="263" t="s">
        <v>4</v>
      </c>
      <c r="G36" s="264">
        <v>100</v>
      </c>
      <c r="H36" s="1198"/>
      <c r="I36" s="451"/>
      <c r="J36" s="452"/>
      <c r="K36" s="439">
        <v>15.563000000000001</v>
      </c>
      <c r="L36" s="1229"/>
      <c r="M36" s="470"/>
      <c r="N36" s="471"/>
      <c r="O36" s="1230"/>
      <c r="P36" s="466"/>
      <c r="Q36" s="860"/>
      <c r="R36" s="854">
        <v>3.0625</v>
      </c>
      <c r="S36" s="938"/>
      <c r="T36" s="466"/>
      <c r="U36" s="490" t="s">
        <v>4</v>
      </c>
      <c r="V36" s="854">
        <v>3.609375</v>
      </c>
      <c r="W36" s="938"/>
      <c r="X36" s="466"/>
      <c r="Y36" s="490" t="s">
        <v>4</v>
      </c>
      <c r="Z36" s="854">
        <v>3.8187500000000001</v>
      </c>
      <c r="AA36" s="938"/>
      <c r="AB36" s="466"/>
      <c r="AC36" s="490" t="s">
        <v>4</v>
      </c>
      <c r="AD36" s="855">
        <v>10.490625</v>
      </c>
      <c r="AE36" s="938"/>
      <c r="AF36" s="490"/>
      <c r="AG36" s="673"/>
      <c r="AH36" s="490" t="s">
        <v>4</v>
      </c>
      <c r="AI36" s="854">
        <v>4.375</v>
      </c>
      <c r="AJ36" s="974"/>
      <c r="AK36" s="490">
        <v>7.8718749999999993</v>
      </c>
      <c r="AL36" s="467"/>
      <c r="AM36" s="938"/>
      <c r="AN36" s="490"/>
      <c r="AO36" s="673"/>
      <c r="AP36" s="490" t="s">
        <v>4</v>
      </c>
      <c r="AQ36" s="854">
        <v>10</v>
      </c>
      <c r="AR36" s="974"/>
      <c r="AS36" s="490">
        <v>17.871874999999999</v>
      </c>
      <c r="AT36" s="467"/>
      <c r="AU36" s="938"/>
      <c r="AV36" s="490"/>
      <c r="AW36" s="673"/>
      <c r="AX36" s="490" t="s">
        <v>4</v>
      </c>
      <c r="AY36" s="854">
        <v>15</v>
      </c>
      <c r="AZ36" s="974"/>
      <c r="BA36" s="490">
        <v>32.871875000000003</v>
      </c>
      <c r="BB36" s="467"/>
      <c r="BC36" s="938"/>
      <c r="BD36" s="490"/>
      <c r="BE36" s="254"/>
      <c r="BF36" s="490" t="s">
        <v>4</v>
      </c>
      <c r="BG36" s="854">
        <v>29.375</v>
      </c>
      <c r="BH36" s="974"/>
      <c r="BI36" s="490">
        <v>32.871875000000003</v>
      </c>
      <c r="BJ36" s="467"/>
      <c r="BK36" s="938"/>
      <c r="BL36" s="490"/>
      <c r="BM36" s="673"/>
      <c r="BN36" s="490" t="s">
        <v>4</v>
      </c>
      <c r="BO36" s="854">
        <v>39.865625000000001</v>
      </c>
      <c r="BP36" s="974"/>
      <c r="BQ36" s="490">
        <v>32.871875000000003</v>
      </c>
      <c r="BR36" s="467"/>
      <c r="BS36" s="938"/>
      <c r="BT36" s="490"/>
      <c r="BU36" s="673"/>
      <c r="BV36" s="490" t="s">
        <v>4</v>
      </c>
      <c r="BW36" s="854">
        <v>0</v>
      </c>
      <c r="BX36" s="974"/>
      <c r="BY36" s="490">
        <v>32.871875000000003</v>
      </c>
      <c r="BZ36" s="467"/>
      <c r="CA36" s="938"/>
      <c r="CB36" s="490"/>
      <c r="CC36" s="673"/>
      <c r="CD36" s="490" t="s">
        <v>4</v>
      </c>
      <c r="CE36" s="854">
        <v>0</v>
      </c>
      <c r="CF36" s="974"/>
      <c r="CG36" s="490">
        <v>32.871875000000003</v>
      </c>
      <c r="CH36" s="467"/>
      <c r="CI36" s="938"/>
      <c r="CJ36" s="490"/>
      <c r="CK36" s="673"/>
      <c r="CL36" s="490" t="s">
        <v>4</v>
      </c>
      <c r="CM36" s="854">
        <v>0.40625</v>
      </c>
      <c r="CN36" s="974"/>
      <c r="CO36" s="490">
        <v>33.278125000000003</v>
      </c>
      <c r="CP36" s="467"/>
      <c r="CQ36" s="938"/>
      <c r="CR36" s="490"/>
      <c r="CS36" s="673"/>
      <c r="CT36" s="490" t="s">
        <v>4</v>
      </c>
      <c r="CU36" s="854">
        <v>0.40625</v>
      </c>
      <c r="CV36" s="974"/>
      <c r="CW36" s="490">
        <v>33.278125000000003</v>
      </c>
      <c r="CX36" s="467"/>
      <c r="CY36" s="938"/>
      <c r="CZ36" s="490"/>
      <c r="DA36" s="673"/>
      <c r="DB36" s="490" t="s">
        <v>4</v>
      </c>
      <c r="DC36" s="854">
        <v>40.271875000000001</v>
      </c>
      <c r="DD36" s="974"/>
      <c r="DE36" s="490">
        <v>33.278125000000003</v>
      </c>
      <c r="DF36" s="467"/>
      <c r="DG36" s="938"/>
      <c r="DH36" s="490"/>
      <c r="DI36" s="673"/>
      <c r="DJ36" s="490" t="s">
        <v>4</v>
      </c>
      <c r="DK36" s="854">
        <v>0.42656250000000001</v>
      </c>
      <c r="DL36" s="974"/>
      <c r="DM36" s="490">
        <v>33.704687499999999</v>
      </c>
      <c r="DN36" s="467"/>
      <c r="DO36" s="938"/>
      <c r="DP36" s="490"/>
      <c r="DQ36" s="673"/>
      <c r="DR36" s="490" t="s">
        <v>4</v>
      </c>
      <c r="DS36" s="854">
        <v>0</v>
      </c>
      <c r="DT36" s="974"/>
      <c r="DU36" s="490">
        <v>33.704687499999999</v>
      </c>
      <c r="DV36" s="467"/>
      <c r="DW36" s="938"/>
      <c r="DX36" s="490"/>
      <c r="DY36" s="673"/>
      <c r="DZ36" s="490" t="s">
        <v>4</v>
      </c>
      <c r="EA36" s="854">
        <v>0</v>
      </c>
      <c r="EB36" s="1235"/>
      <c r="EC36" s="260">
        <v>33.704687499999999</v>
      </c>
      <c r="ED36" s="471"/>
      <c r="EE36" s="1230"/>
      <c r="EF36" s="490"/>
      <c r="EG36" s="673"/>
      <c r="EH36" s="490" t="s">
        <v>4</v>
      </c>
      <c r="EI36" s="259">
        <v>0.42656250000000001</v>
      </c>
      <c r="EJ36" s="1235"/>
      <c r="EK36" s="260">
        <v>33.704687499999999</v>
      </c>
      <c r="EL36" s="471"/>
      <c r="EM36" s="1230"/>
      <c r="EN36" s="490"/>
      <c r="EO36" s="673"/>
      <c r="EP36" s="490" t="s">
        <v>4</v>
      </c>
      <c r="EQ36" s="259">
        <v>0.83281249999999996</v>
      </c>
      <c r="ER36" s="1235"/>
      <c r="ES36" s="260">
        <v>33.704687499999999</v>
      </c>
      <c r="ET36" s="471"/>
      <c r="EU36" s="1230"/>
      <c r="EV36" s="490"/>
      <c r="EW36" s="673"/>
      <c r="EX36" s="265" t="s">
        <v>4</v>
      </c>
      <c r="EY36" s="259">
        <v>40.698437500000004</v>
      </c>
      <c r="EZ36" s="373"/>
      <c r="FA36" s="370">
        <v>33.704687499999999</v>
      </c>
      <c r="FB36" s="371"/>
    </row>
    <row r="37" spans="2:158" ht="20.100000000000001" customHeight="1">
      <c r="B37" s="1742" t="s">
        <v>23</v>
      </c>
      <c r="C37" s="1745" t="s">
        <v>39</v>
      </c>
      <c r="D37" s="178" t="s">
        <v>109</v>
      </c>
      <c r="E37" s="174" t="s">
        <v>11</v>
      </c>
      <c r="F37" s="250">
        <v>1</v>
      </c>
      <c r="G37" s="251">
        <v>10</v>
      </c>
      <c r="H37" s="1229"/>
      <c r="I37" s="453">
        <v>1</v>
      </c>
      <c r="J37" s="313">
        <v>1</v>
      </c>
      <c r="K37" s="454">
        <v>10</v>
      </c>
      <c r="L37" s="1229"/>
      <c r="M37" s="473">
        <v>1</v>
      </c>
      <c r="N37" s="843">
        <v>1</v>
      </c>
      <c r="O37" s="1234"/>
      <c r="P37" s="465">
        <v>0</v>
      </c>
      <c r="Q37" s="859">
        <v>0</v>
      </c>
      <c r="R37" s="412">
        <v>0</v>
      </c>
      <c r="S37" s="938"/>
      <c r="T37" s="852">
        <v>0</v>
      </c>
      <c r="U37" s="243">
        <v>0</v>
      </c>
      <c r="V37" s="412">
        <v>0</v>
      </c>
      <c r="W37" s="938"/>
      <c r="X37" s="465">
        <v>0</v>
      </c>
      <c r="Y37" s="245">
        <v>0</v>
      </c>
      <c r="Z37" s="412">
        <v>0</v>
      </c>
      <c r="AA37" s="938"/>
      <c r="AB37" s="465">
        <v>0</v>
      </c>
      <c r="AC37" s="245">
        <v>0</v>
      </c>
      <c r="AD37" s="245">
        <v>0</v>
      </c>
      <c r="AE37" s="938"/>
      <c r="AF37" s="853">
        <v>100</v>
      </c>
      <c r="AG37" s="1169">
        <v>1</v>
      </c>
      <c r="AH37" s="1169">
        <v>1</v>
      </c>
      <c r="AI37" s="245">
        <v>10</v>
      </c>
      <c r="AJ37" s="245">
        <v>1</v>
      </c>
      <c r="AK37" s="245">
        <v>10</v>
      </c>
      <c r="AL37" s="411" t="s">
        <v>279</v>
      </c>
      <c r="AM37" s="938"/>
      <c r="AN37" s="853">
        <v>100</v>
      </c>
      <c r="AO37" s="1169">
        <v>1</v>
      </c>
      <c r="AP37" s="1169">
        <v>1</v>
      </c>
      <c r="AQ37" s="245">
        <v>10</v>
      </c>
      <c r="AR37" s="245">
        <v>2</v>
      </c>
      <c r="AS37" s="245">
        <v>20</v>
      </c>
      <c r="AT37" s="411" t="s">
        <v>279</v>
      </c>
      <c r="AU37" s="938"/>
      <c r="AV37" s="853">
        <v>100</v>
      </c>
      <c r="AW37" s="1161">
        <v>0.3</v>
      </c>
      <c r="AX37" s="1161">
        <v>0.3</v>
      </c>
      <c r="AY37" s="245">
        <v>3</v>
      </c>
      <c r="AZ37" s="245">
        <v>2.2999999999999998</v>
      </c>
      <c r="BA37" s="245">
        <v>23</v>
      </c>
      <c r="BB37" s="411" t="s">
        <v>279</v>
      </c>
      <c r="BC37" s="938"/>
      <c r="BD37" s="853">
        <v>100</v>
      </c>
      <c r="BE37" s="245">
        <v>2.2999999999999998</v>
      </c>
      <c r="BF37" s="245">
        <v>2.2999999999999998</v>
      </c>
      <c r="BG37" s="245">
        <v>23</v>
      </c>
      <c r="BH37" s="245">
        <v>2.2999999999999998</v>
      </c>
      <c r="BI37" s="245">
        <v>23</v>
      </c>
      <c r="BJ37" s="411" t="s">
        <v>279</v>
      </c>
      <c r="BK37" s="938"/>
      <c r="BL37" s="853">
        <v>0</v>
      </c>
      <c r="BM37" s="245"/>
      <c r="BN37" s="245">
        <v>2.2999999999999998</v>
      </c>
      <c r="BO37" s="245">
        <v>23</v>
      </c>
      <c r="BP37" s="245">
        <v>2.2999999999999998</v>
      </c>
      <c r="BQ37" s="245">
        <v>23</v>
      </c>
      <c r="BR37" s="411" t="s">
        <v>279</v>
      </c>
      <c r="BS37" s="938"/>
      <c r="BT37" s="853">
        <v>0</v>
      </c>
      <c r="BU37" s="1161">
        <v>0</v>
      </c>
      <c r="BV37" s="1161">
        <v>0</v>
      </c>
      <c r="BW37" s="245">
        <v>0</v>
      </c>
      <c r="BX37" s="245">
        <v>2.2999999999999998</v>
      </c>
      <c r="BY37" s="245">
        <v>23</v>
      </c>
      <c r="BZ37" s="411" t="s">
        <v>279</v>
      </c>
      <c r="CA37" s="938"/>
      <c r="CB37" s="853">
        <v>0</v>
      </c>
      <c r="CC37" s="1161">
        <v>0</v>
      </c>
      <c r="CD37" s="1161">
        <v>0</v>
      </c>
      <c r="CE37" s="245">
        <v>0</v>
      </c>
      <c r="CF37" s="245">
        <v>2.2999999999999998</v>
      </c>
      <c r="CG37" s="245">
        <v>23</v>
      </c>
      <c r="CH37" s="411" t="s">
        <v>279</v>
      </c>
      <c r="CI37" s="938"/>
      <c r="CJ37" s="853">
        <v>0</v>
      </c>
      <c r="CK37" s="1161">
        <v>0.1111111111111111</v>
      </c>
      <c r="CL37" s="1161">
        <v>0</v>
      </c>
      <c r="CM37" s="245">
        <v>0</v>
      </c>
      <c r="CN37" s="245">
        <v>2.2999999999999998</v>
      </c>
      <c r="CO37" s="245">
        <v>23</v>
      </c>
      <c r="CP37" s="411" t="s">
        <v>279</v>
      </c>
      <c r="CQ37" s="938"/>
      <c r="CR37" s="853">
        <v>0</v>
      </c>
      <c r="CS37" s="245">
        <v>0.1111111111111111</v>
      </c>
      <c r="CT37" s="245">
        <v>0</v>
      </c>
      <c r="CU37" s="245">
        <v>0</v>
      </c>
      <c r="CV37" s="245">
        <v>2.2999999999999998</v>
      </c>
      <c r="CW37" s="245">
        <v>23</v>
      </c>
      <c r="CX37" s="411" t="s">
        <v>279</v>
      </c>
      <c r="CY37" s="938"/>
      <c r="CZ37" s="853">
        <v>2070</v>
      </c>
      <c r="DA37" s="245">
        <v>0.1111111111111111</v>
      </c>
      <c r="DB37" s="245">
        <v>2.2999999999999998</v>
      </c>
      <c r="DC37" s="245">
        <v>23</v>
      </c>
      <c r="DD37" s="245">
        <v>2.2999999999999998</v>
      </c>
      <c r="DE37" s="245">
        <v>23</v>
      </c>
      <c r="DF37" s="411" t="s">
        <v>279</v>
      </c>
      <c r="DG37" s="938"/>
      <c r="DH37" s="853">
        <v>0</v>
      </c>
      <c r="DI37" s="1161">
        <v>0.1111111111111111</v>
      </c>
      <c r="DJ37" s="1161">
        <v>0</v>
      </c>
      <c r="DK37" s="245">
        <v>0</v>
      </c>
      <c r="DL37" s="245">
        <v>2.2999999999999998</v>
      </c>
      <c r="DM37" s="245">
        <v>23</v>
      </c>
      <c r="DN37" s="411" t="s">
        <v>279</v>
      </c>
      <c r="DO37" s="938"/>
      <c r="DP37" s="853">
        <v>0</v>
      </c>
      <c r="DQ37" s="1161">
        <v>0.1111111111111111</v>
      </c>
      <c r="DR37" s="1161"/>
      <c r="DS37" s="245">
        <v>0</v>
      </c>
      <c r="DT37" s="245">
        <v>2.2999999999999998</v>
      </c>
      <c r="DU37" s="245">
        <v>23</v>
      </c>
      <c r="DV37" s="411" t="s">
        <v>279</v>
      </c>
      <c r="DW37" s="938"/>
      <c r="DX37" s="853">
        <v>0</v>
      </c>
      <c r="DY37" s="1161">
        <v>0.1111111111111111</v>
      </c>
      <c r="DZ37" s="1161"/>
      <c r="EA37" s="245">
        <v>0</v>
      </c>
      <c r="EB37" s="245">
        <v>2.2999999999999998</v>
      </c>
      <c r="EC37" s="1233">
        <v>23</v>
      </c>
      <c r="ED37" s="1168" t="s">
        <v>279</v>
      </c>
      <c r="EE37" s="1230"/>
      <c r="EF37" s="853">
        <v>0</v>
      </c>
      <c r="EG37" s="245">
        <v>0.33333333333333331</v>
      </c>
      <c r="EH37" s="245">
        <v>0</v>
      </c>
      <c r="EI37" s="245">
        <v>0</v>
      </c>
      <c r="EJ37" s="245">
        <v>2.2999999999999998</v>
      </c>
      <c r="EK37" s="1233">
        <v>23</v>
      </c>
      <c r="EL37" s="1168" t="s">
        <v>279</v>
      </c>
      <c r="EM37" s="1230"/>
      <c r="EN37" s="853">
        <v>0</v>
      </c>
      <c r="EO37" s="245">
        <v>0.44444444444444442</v>
      </c>
      <c r="EP37" s="245">
        <v>0</v>
      </c>
      <c r="EQ37" s="245">
        <v>0</v>
      </c>
      <c r="ER37" s="245">
        <v>2.2999999999999998</v>
      </c>
      <c r="ES37" s="1233">
        <v>23</v>
      </c>
      <c r="ET37" s="1168" t="s">
        <v>279</v>
      </c>
      <c r="EU37" s="1230"/>
      <c r="EV37" s="853">
        <v>517.5</v>
      </c>
      <c r="EW37" s="245">
        <v>0.44444444444444442</v>
      </c>
      <c r="EX37" s="245">
        <v>2.2999999999999998</v>
      </c>
      <c r="EY37" s="245">
        <v>23</v>
      </c>
      <c r="EZ37" s="367">
        <v>2.2999999999999998</v>
      </c>
      <c r="FA37" s="368">
        <v>23</v>
      </c>
      <c r="FB37" s="372" t="s">
        <v>279</v>
      </c>
    </row>
    <row r="38" spans="2:158" ht="20.100000000000001" customHeight="1">
      <c r="B38" s="1743"/>
      <c r="C38" s="1746"/>
      <c r="D38" s="178" t="s">
        <v>10</v>
      </c>
      <c r="E38" s="174" t="s">
        <v>11</v>
      </c>
      <c r="F38" s="250">
        <v>1</v>
      </c>
      <c r="G38" s="251">
        <v>20</v>
      </c>
      <c r="H38" s="1229"/>
      <c r="I38" s="449">
        <v>1</v>
      </c>
      <c r="J38" s="313">
        <v>0.25</v>
      </c>
      <c r="K38" s="293">
        <v>5</v>
      </c>
      <c r="L38" s="1229"/>
      <c r="M38" s="272">
        <v>1</v>
      </c>
      <c r="N38" s="843">
        <v>1.75</v>
      </c>
      <c r="O38" s="1234"/>
      <c r="P38" s="465">
        <v>0</v>
      </c>
      <c r="Q38" s="859">
        <v>0</v>
      </c>
      <c r="R38" s="412">
        <v>0</v>
      </c>
      <c r="S38" s="938"/>
      <c r="T38" s="465">
        <v>0</v>
      </c>
      <c r="U38" s="245">
        <v>0</v>
      </c>
      <c r="V38" s="412">
        <v>0</v>
      </c>
      <c r="W38" s="938"/>
      <c r="X38" s="465">
        <v>0</v>
      </c>
      <c r="Y38" s="245">
        <v>0</v>
      </c>
      <c r="Z38" s="412">
        <v>0</v>
      </c>
      <c r="AA38" s="938"/>
      <c r="AB38" s="465">
        <v>0</v>
      </c>
      <c r="AC38" s="245">
        <v>0</v>
      </c>
      <c r="AD38" s="245">
        <v>0</v>
      </c>
      <c r="AE38" s="938"/>
      <c r="AF38" s="853">
        <v>0</v>
      </c>
      <c r="AG38" s="1169">
        <v>1.75</v>
      </c>
      <c r="AH38" s="1169">
        <v>0</v>
      </c>
      <c r="AI38" s="245">
        <v>0</v>
      </c>
      <c r="AJ38" s="245">
        <v>0</v>
      </c>
      <c r="AK38" s="245">
        <v>0</v>
      </c>
      <c r="AL38" s="412" t="s">
        <v>279</v>
      </c>
      <c r="AM38" s="938"/>
      <c r="AN38" s="853">
        <v>0</v>
      </c>
      <c r="AO38" s="1169">
        <v>1.75</v>
      </c>
      <c r="AP38" s="1169">
        <v>0</v>
      </c>
      <c r="AQ38" s="245">
        <v>0</v>
      </c>
      <c r="AR38" s="245">
        <v>0</v>
      </c>
      <c r="AS38" s="245">
        <v>0</v>
      </c>
      <c r="AT38" s="412" t="s">
        <v>279</v>
      </c>
      <c r="AU38" s="938"/>
      <c r="AV38" s="853">
        <v>0</v>
      </c>
      <c r="AW38" s="1161">
        <v>1.75</v>
      </c>
      <c r="AX38" s="1161">
        <v>0</v>
      </c>
      <c r="AY38" s="245">
        <v>0</v>
      </c>
      <c r="AZ38" s="245">
        <v>0</v>
      </c>
      <c r="BA38" s="245">
        <v>0</v>
      </c>
      <c r="BB38" s="412" t="s">
        <v>279</v>
      </c>
      <c r="BC38" s="938"/>
      <c r="BD38" s="853">
        <v>0</v>
      </c>
      <c r="BE38" s="245">
        <v>5.25</v>
      </c>
      <c r="BF38" s="245">
        <v>0</v>
      </c>
      <c r="BG38" s="245">
        <v>0</v>
      </c>
      <c r="BH38" s="245">
        <v>0</v>
      </c>
      <c r="BI38" s="245">
        <v>0</v>
      </c>
      <c r="BJ38" s="412" t="s">
        <v>279</v>
      </c>
      <c r="BK38" s="938"/>
      <c r="BL38" s="853">
        <v>0</v>
      </c>
      <c r="BM38" s="245"/>
      <c r="BN38" s="245">
        <v>0</v>
      </c>
      <c r="BO38" s="245">
        <v>0</v>
      </c>
      <c r="BP38" s="245">
        <v>0</v>
      </c>
      <c r="BQ38" s="245">
        <v>0</v>
      </c>
      <c r="BR38" s="412" t="s">
        <v>279</v>
      </c>
      <c r="BS38" s="938"/>
      <c r="BT38" s="853">
        <v>0</v>
      </c>
      <c r="BU38" s="1161">
        <v>0</v>
      </c>
      <c r="BV38" s="1161">
        <v>0</v>
      </c>
      <c r="BW38" s="245">
        <v>0</v>
      </c>
      <c r="BX38" s="245">
        <v>0</v>
      </c>
      <c r="BY38" s="245">
        <v>0</v>
      </c>
      <c r="BZ38" s="412" t="s">
        <v>279</v>
      </c>
      <c r="CA38" s="938"/>
      <c r="CB38" s="853">
        <v>0</v>
      </c>
      <c r="CC38" s="1169">
        <v>0.19444444444444445</v>
      </c>
      <c r="CD38" s="1161">
        <v>0</v>
      </c>
      <c r="CE38" s="245">
        <v>0</v>
      </c>
      <c r="CF38" s="245">
        <v>0</v>
      </c>
      <c r="CG38" s="245">
        <v>0</v>
      </c>
      <c r="CH38" s="412" t="s">
        <v>279</v>
      </c>
      <c r="CI38" s="938"/>
      <c r="CJ38" s="853">
        <v>15.428571428571427</v>
      </c>
      <c r="CK38" s="1161">
        <v>0.19444444444444445</v>
      </c>
      <c r="CL38" s="1161">
        <v>0.03</v>
      </c>
      <c r="CM38" s="245">
        <v>0.6</v>
      </c>
      <c r="CN38" s="245">
        <v>0.03</v>
      </c>
      <c r="CO38" s="245">
        <v>0.6</v>
      </c>
      <c r="CP38" s="412" t="s">
        <v>279</v>
      </c>
      <c r="CQ38" s="938"/>
      <c r="CR38" s="853">
        <v>7.7142857142857135</v>
      </c>
      <c r="CS38" s="245">
        <v>0.3888888888888889</v>
      </c>
      <c r="CT38" s="245">
        <v>0.03</v>
      </c>
      <c r="CU38" s="245">
        <v>0.6</v>
      </c>
      <c r="CV38" s="245">
        <v>0.03</v>
      </c>
      <c r="CW38" s="245">
        <v>0.6</v>
      </c>
      <c r="CX38" s="412" t="s">
        <v>279</v>
      </c>
      <c r="CY38" s="938"/>
      <c r="CZ38" s="853">
        <v>7.7142857142857135</v>
      </c>
      <c r="DA38" s="245">
        <v>0.3888888888888889</v>
      </c>
      <c r="DB38" s="245">
        <v>0.03</v>
      </c>
      <c r="DC38" s="245">
        <v>0.6</v>
      </c>
      <c r="DD38" s="245">
        <v>0.03</v>
      </c>
      <c r="DE38" s="245">
        <v>0.6</v>
      </c>
      <c r="DF38" s="412" t="s">
        <v>279</v>
      </c>
      <c r="DG38" s="938"/>
      <c r="DH38" s="853">
        <v>16.2</v>
      </c>
      <c r="DI38" s="1161">
        <v>0.19444444444444445</v>
      </c>
      <c r="DJ38" s="1161">
        <v>3.15E-2</v>
      </c>
      <c r="DK38" s="245">
        <v>0.63</v>
      </c>
      <c r="DL38" s="245">
        <v>6.1499999999999999E-2</v>
      </c>
      <c r="DM38" s="245">
        <v>1.23</v>
      </c>
      <c r="DN38" s="412" t="s">
        <v>279</v>
      </c>
      <c r="DO38" s="938"/>
      <c r="DP38" s="853">
        <v>0</v>
      </c>
      <c r="DQ38" s="1161">
        <v>0.19444444444444445</v>
      </c>
      <c r="DR38" s="1161"/>
      <c r="DS38" s="245">
        <v>0</v>
      </c>
      <c r="DT38" s="245">
        <v>6.1499999999999999E-2</v>
      </c>
      <c r="DU38" s="245">
        <v>1.23</v>
      </c>
      <c r="DV38" s="412" t="s">
        <v>279</v>
      </c>
      <c r="DW38" s="938"/>
      <c r="DX38" s="853">
        <v>0</v>
      </c>
      <c r="DY38" s="1161">
        <v>0.19444444444444445</v>
      </c>
      <c r="DZ38" s="1161"/>
      <c r="EA38" s="245">
        <v>0</v>
      </c>
      <c r="EB38" s="245">
        <v>6.1499999999999999E-2</v>
      </c>
      <c r="EC38" s="1233">
        <v>1.23</v>
      </c>
      <c r="ED38" s="1171" t="s">
        <v>279</v>
      </c>
      <c r="EE38" s="1230"/>
      <c r="EF38" s="853">
        <v>5.4</v>
      </c>
      <c r="EG38" s="245">
        <v>0.58333333333333337</v>
      </c>
      <c r="EH38" s="245">
        <v>3.15E-2</v>
      </c>
      <c r="EI38" s="245">
        <v>0.63</v>
      </c>
      <c r="EJ38" s="245">
        <v>6.1499999999999999E-2</v>
      </c>
      <c r="EK38" s="1233">
        <v>1.23</v>
      </c>
      <c r="EL38" s="1171" t="s">
        <v>279</v>
      </c>
      <c r="EM38" s="1230"/>
      <c r="EN38" s="853">
        <v>6.3257142857142847</v>
      </c>
      <c r="EO38" s="245">
        <v>0.97222222222222232</v>
      </c>
      <c r="EP38" s="245">
        <v>6.1499999999999999E-2</v>
      </c>
      <c r="EQ38" s="245">
        <v>1.23</v>
      </c>
      <c r="ER38" s="245">
        <v>6.1499999999999999E-2</v>
      </c>
      <c r="ES38" s="1233">
        <v>1.23</v>
      </c>
      <c r="ET38" s="1171" t="s">
        <v>279</v>
      </c>
      <c r="EU38" s="1230"/>
      <c r="EV38" s="853">
        <v>6.3257142857142847</v>
      </c>
      <c r="EW38" s="245">
        <v>0.97222222222222232</v>
      </c>
      <c r="EX38" s="245">
        <v>6.1499999999999999E-2</v>
      </c>
      <c r="EY38" s="245">
        <v>1.23</v>
      </c>
      <c r="EZ38" s="367">
        <v>6.1499999999999999E-2</v>
      </c>
      <c r="FA38" s="368">
        <v>1.23</v>
      </c>
      <c r="FB38" s="369" t="s">
        <v>279</v>
      </c>
    </row>
    <row r="39" spans="2:158" ht="20.100000000000001" customHeight="1">
      <c r="B39" s="1743"/>
      <c r="C39" s="1746"/>
      <c r="D39" s="178" t="s">
        <v>154</v>
      </c>
      <c r="E39" s="174" t="s">
        <v>11</v>
      </c>
      <c r="F39" s="250">
        <v>1</v>
      </c>
      <c r="G39" s="251">
        <v>60</v>
      </c>
      <c r="H39" s="1229"/>
      <c r="I39" s="449">
        <v>1</v>
      </c>
      <c r="J39" s="313">
        <v>0</v>
      </c>
      <c r="K39" s="293">
        <v>0</v>
      </c>
      <c r="L39" s="1229"/>
      <c r="M39" s="272">
        <v>1</v>
      </c>
      <c r="N39" s="843">
        <v>2</v>
      </c>
      <c r="O39" s="1234"/>
      <c r="P39" s="465">
        <v>0</v>
      </c>
      <c r="Q39" s="859">
        <v>0</v>
      </c>
      <c r="R39" s="412">
        <v>0</v>
      </c>
      <c r="S39" s="938"/>
      <c r="T39" s="465">
        <v>0</v>
      </c>
      <c r="U39" s="245">
        <v>0</v>
      </c>
      <c r="V39" s="412">
        <v>0</v>
      </c>
      <c r="W39" s="938"/>
      <c r="X39" s="465">
        <v>0</v>
      </c>
      <c r="Y39" s="245">
        <v>0</v>
      </c>
      <c r="Z39" s="412">
        <v>0</v>
      </c>
      <c r="AA39" s="938"/>
      <c r="AB39" s="465">
        <v>0</v>
      </c>
      <c r="AC39" s="245">
        <v>0</v>
      </c>
      <c r="AD39" s="245">
        <v>0</v>
      </c>
      <c r="AE39" s="938"/>
      <c r="AF39" s="853">
        <v>0</v>
      </c>
      <c r="AG39" s="1169">
        <v>2</v>
      </c>
      <c r="AH39" s="1169">
        <v>0</v>
      </c>
      <c r="AI39" s="245">
        <v>0</v>
      </c>
      <c r="AJ39" s="245">
        <v>0</v>
      </c>
      <c r="AK39" s="245">
        <v>0</v>
      </c>
      <c r="AL39" s="412" t="s">
        <v>279</v>
      </c>
      <c r="AM39" s="938"/>
      <c r="AN39" s="853">
        <v>0</v>
      </c>
      <c r="AO39" s="1169">
        <v>2</v>
      </c>
      <c r="AP39" s="1169">
        <v>0</v>
      </c>
      <c r="AQ39" s="245">
        <v>0</v>
      </c>
      <c r="AR39" s="245">
        <v>0</v>
      </c>
      <c r="AS39" s="245">
        <v>0</v>
      </c>
      <c r="AT39" s="412" t="s">
        <v>279</v>
      </c>
      <c r="AU39" s="938"/>
      <c r="AV39" s="853">
        <v>0</v>
      </c>
      <c r="AW39" s="1161">
        <v>2</v>
      </c>
      <c r="AX39" s="1161">
        <v>0</v>
      </c>
      <c r="AY39" s="245">
        <v>0</v>
      </c>
      <c r="AZ39" s="245">
        <v>0</v>
      </c>
      <c r="BA39" s="245">
        <v>0</v>
      </c>
      <c r="BB39" s="412" t="s">
        <v>279</v>
      </c>
      <c r="BC39" s="938"/>
      <c r="BD39" s="853">
        <v>0</v>
      </c>
      <c r="BE39" s="245">
        <v>6</v>
      </c>
      <c r="BF39" s="245">
        <v>0</v>
      </c>
      <c r="BG39" s="245">
        <v>0</v>
      </c>
      <c r="BH39" s="245">
        <v>0</v>
      </c>
      <c r="BI39" s="245">
        <v>0</v>
      </c>
      <c r="BJ39" s="412" t="s">
        <v>279</v>
      </c>
      <c r="BK39" s="938"/>
      <c r="BL39" s="853">
        <v>0</v>
      </c>
      <c r="BM39" s="245"/>
      <c r="BN39" s="245">
        <v>0</v>
      </c>
      <c r="BO39" s="245">
        <v>0</v>
      </c>
      <c r="BP39" s="245">
        <v>0</v>
      </c>
      <c r="BQ39" s="245">
        <v>0</v>
      </c>
      <c r="BR39" s="412" t="s">
        <v>279</v>
      </c>
      <c r="BS39" s="938"/>
      <c r="BT39" s="853">
        <v>0</v>
      </c>
      <c r="BU39" s="1161">
        <v>0</v>
      </c>
      <c r="BV39" s="1161">
        <v>0</v>
      </c>
      <c r="BW39" s="245">
        <v>0</v>
      </c>
      <c r="BX39" s="245">
        <v>0</v>
      </c>
      <c r="BY39" s="245">
        <v>0</v>
      </c>
      <c r="BZ39" s="412" t="s">
        <v>279</v>
      </c>
      <c r="CA39" s="938"/>
      <c r="CB39" s="853">
        <v>0</v>
      </c>
      <c r="CC39" s="1169">
        <v>0.22222222222222221</v>
      </c>
      <c r="CD39" s="1161">
        <v>0</v>
      </c>
      <c r="CE39" s="245">
        <v>0</v>
      </c>
      <c r="CF39" s="245">
        <v>0</v>
      </c>
      <c r="CG39" s="245">
        <v>0</v>
      </c>
      <c r="CH39" s="412" t="s">
        <v>279</v>
      </c>
      <c r="CI39" s="938"/>
      <c r="CJ39" s="853">
        <v>0</v>
      </c>
      <c r="CK39" s="1161">
        <v>0.22222222222222221</v>
      </c>
      <c r="CL39" s="1161">
        <v>0</v>
      </c>
      <c r="CM39" s="245">
        <v>0</v>
      </c>
      <c r="CN39" s="245">
        <v>0</v>
      </c>
      <c r="CO39" s="245">
        <v>0</v>
      </c>
      <c r="CP39" s="412" t="s">
        <v>279</v>
      </c>
      <c r="CQ39" s="938"/>
      <c r="CR39" s="853">
        <v>0</v>
      </c>
      <c r="CS39" s="245">
        <v>0.44444444444444442</v>
      </c>
      <c r="CT39" s="245">
        <v>0</v>
      </c>
      <c r="CU39" s="245">
        <v>0</v>
      </c>
      <c r="CV39" s="245">
        <v>0</v>
      </c>
      <c r="CW39" s="245">
        <v>0</v>
      </c>
      <c r="CX39" s="412" t="s">
        <v>279</v>
      </c>
      <c r="CY39" s="938"/>
      <c r="CZ39" s="853">
        <v>0</v>
      </c>
      <c r="DA39" s="245">
        <v>0.44444444444444442</v>
      </c>
      <c r="DB39" s="245">
        <v>0</v>
      </c>
      <c r="DC39" s="245">
        <v>0</v>
      </c>
      <c r="DD39" s="245">
        <v>0</v>
      </c>
      <c r="DE39" s="245">
        <v>0</v>
      </c>
      <c r="DF39" s="412" t="s">
        <v>279</v>
      </c>
      <c r="DG39" s="938"/>
      <c r="DH39" s="853">
        <v>0</v>
      </c>
      <c r="DI39" s="1161">
        <v>0.22222222222222221</v>
      </c>
      <c r="DJ39" s="1161">
        <v>0</v>
      </c>
      <c r="DK39" s="245">
        <v>0</v>
      </c>
      <c r="DL39" s="245">
        <v>0</v>
      </c>
      <c r="DM39" s="245">
        <v>0</v>
      </c>
      <c r="DN39" s="412" t="s">
        <v>279</v>
      </c>
      <c r="DO39" s="938"/>
      <c r="DP39" s="853">
        <v>0</v>
      </c>
      <c r="DQ39" s="1161">
        <v>0.22222222222222221</v>
      </c>
      <c r="DR39" s="1161"/>
      <c r="DS39" s="245">
        <v>0</v>
      </c>
      <c r="DT39" s="245">
        <v>0</v>
      </c>
      <c r="DU39" s="245">
        <v>0</v>
      </c>
      <c r="DV39" s="412" t="s">
        <v>279</v>
      </c>
      <c r="DW39" s="938"/>
      <c r="DX39" s="853">
        <v>0</v>
      </c>
      <c r="DY39" s="1161">
        <v>0.22222222222222221</v>
      </c>
      <c r="DZ39" s="1161"/>
      <c r="EA39" s="245">
        <v>0</v>
      </c>
      <c r="EB39" s="245">
        <v>0</v>
      </c>
      <c r="EC39" s="1233">
        <v>0</v>
      </c>
      <c r="ED39" s="1171" t="s">
        <v>279</v>
      </c>
      <c r="EE39" s="1230"/>
      <c r="EF39" s="853">
        <v>0</v>
      </c>
      <c r="EG39" s="245">
        <v>0.66666666666666663</v>
      </c>
      <c r="EH39" s="245">
        <v>0</v>
      </c>
      <c r="EI39" s="245">
        <v>0</v>
      </c>
      <c r="EJ39" s="245">
        <v>0</v>
      </c>
      <c r="EK39" s="1233">
        <v>0</v>
      </c>
      <c r="EL39" s="1171" t="s">
        <v>279</v>
      </c>
      <c r="EM39" s="1230"/>
      <c r="EN39" s="853">
        <v>0</v>
      </c>
      <c r="EO39" s="245">
        <v>1.1111111111111112</v>
      </c>
      <c r="EP39" s="245">
        <v>0</v>
      </c>
      <c r="EQ39" s="245">
        <v>0</v>
      </c>
      <c r="ER39" s="245">
        <v>0</v>
      </c>
      <c r="ES39" s="1233">
        <v>0</v>
      </c>
      <c r="ET39" s="1171" t="s">
        <v>279</v>
      </c>
      <c r="EU39" s="1230"/>
      <c r="EV39" s="853">
        <v>0</v>
      </c>
      <c r="EW39" s="245">
        <v>1.1111111111111112</v>
      </c>
      <c r="EX39" s="245">
        <v>0</v>
      </c>
      <c r="EY39" s="245">
        <v>0</v>
      </c>
      <c r="EZ39" s="367">
        <v>0</v>
      </c>
      <c r="FA39" s="368">
        <v>0</v>
      </c>
      <c r="FB39" s="369" t="s">
        <v>279</v>
      </c>
    </row>
    <row r="40" spans="2:158" ht="20.100000000000001" customHeight="1">
      <c r="B40" s="1743"/>
      <c r="C40" s="1746"/>
      <c r="D40" s="179" t="s">
        <v>98</v>
      </c>
      <c r="E40" s="180" t="s">
        <v>134</v>
      </c>
      <c r="F40" s="275">
        <v>9</v>
      </c>
      <c r="G40" s="256">
        <v>10</v>
      </c>
      <c r="H40" s="1229"/>
      <c r="I40" s="449"/>
      <c r="J40" s="455"/>
      <c r="K40" s="293">
        <v>0</v>
      </c>
      <c r="L40" s="1229"/>
      <c r="M40" s="272">
        <v>9</v>
      </c>
      <c r="N40" s="843"/>
      <c r="O40" s="1234"/>
      <c r="P40" s="465">
        <v>0</v>
      </c>
      <c r="Q40" s="859">
        <v>0</v>
      </c>
      <c r="R40" s="412">
        <v>0</v>
      </c>
      <c r="S40" s="938"/>
      <c r="T40" s="465">
        <v>0</v>
      </c>
      <c r="U40" s="245">
        <v>0</v>
      </c>
      <c r="V40" s="412">
        <v>0</v>
      </c>
      <c r="W40" s="938"/>
      <c r="X40" s="465">
        <v>0</v>
      </c>
      <c r="Y40" s="245">
        <v>0</v>
      </c>
      <c r="Z40" s="412">
        <v>0</v>
      </c>
      <c r="AA40" s="938"/>
      <c r="AB40" s="465">
        <v>0</v>
      </c>
      <c r="AC40" s="245">
        <v>0</v>
      </c>
      <c r="AD40" s="245">
        <v>0</v>
      </c>
      <c r="AE40" s="938"/>
      <c r="AF40" s="853">
        <v>0</v>
      </c>
      <c r="AG40" s="1169">
        <v>9</v>
      </c>
      <c r="AH40" s="1169">
        <v>0</v>
      </c>
      <c r="AI40" s="245">
        <v>0</v>
      </c>
      <c r="AJ40" s="245">
        <v>0</v>
      </c>
      <c r="AK40" s="245">
        <v>0</v>
      </c>
      <c r="AL40" s="412" t="s">
        <v>279</v>
      </c>
      <c r="AM40" s="938"/>
      <c r="AN40" s="853">
        <v>0</v>
      </c>
      <c r="AO40" s="1169">
        <v>9</v>
      </c>
      <c r="AP40" s="1169">
        <v>0</v>
      </c>
      <c r="AQ40" s="245">
        <v>0</v>
      </c>
      <c r="AR40" s="245">
        <v>0</v>
      </c>
      <c r="AS40" s="245">
        <v>0</v>
      </c>
      <c r="AT40" s="412" t="s">
        <v>279</v>
      </c>
      <c r="AU40" s="938"/>
      <c r="AV40" s="853">
        <v>0</v>
      </c>
      <c r="AW40" s="1161">
        <v>9</v>
      </c>
      <c r="AX40" s="1161">
        <v>0</v>
      </c>
      <c r="AY40" s="245">
        <v>0</v>
      </c>
      <c r="AZ40" s="245">
        <v>0</v>
      </c>
      <c r="BA40" s="245">
        <v>0</v>
      </c>
      <c r="BB40" s="412" t="s">
        <v>279</v>
      </c>
      <c r="BC40" s="938"/>
      <c r="BD40" s="853">
        <v>0</v>
      </c>
      <c r="BE40" s="245">
        <v>27</v>
      </c>
      <c r="BF40" s="245">
        <v>0</v>
      </c>
      <c r="BG40" s="245">
        <v>0</v>
      </c>
      <c r="BH40" s="245">
        <v>0</v>
      </c>
      <c r="BI40" s="245">
        <v>0</v>
      </c>
      <c r="BJ40" s="412" t="s">
        <v>279</v>
      </c>
      <c r="BK40" s="938"/>
      <c r="BL40" s="853">
        <v>0</v>
      </c>
      <c r="BM40" s="245"/>
      <c r="BN40" s="245">
        <v>0</v>
      </c>
      <c r="BO40" s="245">
        <v>0</v>
      </c>
      <c r="BP40" s="245">
        <v>0</v>
      </c>
      <c r="BQ40" s="245">
        <v>0</v>
      </c>
      <c r="BR40" s="412" t="s">
        <v>279</v>
      </c>
      <c r="BS40" s="938"/>
      <c r="BT40" s="853">
        <v>0</v>
      </c>
      <c r="BU40" s="1161">
        <v>9</v>
      </c>
      <c r="BV40" s="1161">
        <v>0</v>
      </c>
      <c r="BW40" s="245">
        <v>0</v>
      </c>
      <c r="BX40" s="245">
        <v>0</v>
      </c>
      <c r="BY40" s="245">
        <v>0</v>
      </c>
      <c r="BZ40" s="412" t="s">
        <v>279</v>
      </c>
      <c r="CA40" s="938"/>
      <c r="CB40" s="853">
        <v>0</v>
      </c>
      <c r="CC40" s="1161">
        <v>0</v>
      </c>
      <c r="CD40" s="1161">
        <v>0</v>
      </c>
      <c r="CE40" s="245">
        <v>0</v>
      </c>
      <c r="CF40" s="245">
        <v>0</v>
      </c>
      <c r="CG40" s="245">
        <v>0</v>
      </c>
      <c r="CH40" s="412" t="s">
        <v>279</v>
      </c>
      <c r="CI40" s="938"/>
      <c r="CJ40" s="853">
        <v>0</v>
      </c>
      <c r="CK40" s="1161">
        <v>0</v>
      </c>
      <c r="CL40" s="1161">
        <v>0.5</v>
      </c>
      <c r="CM40" s="245">
        <v>0.55555555555555558</v>
      </c>
      <c r="CN40" s="245">
        <v>0.5</v>
      </c>
      <c r="CO40" s="245">
        <v>0.55555555555555558</v>
      </c>
      <c r="CP40" s="412" t="s">
        <v>279</v>
      </c>
      <c r="CQ40" s="938"/>
      <c r="CR40" s="853">
        <v>5.5555555555555554</v>
      </c>
      <c r="CS40" s="245">
        <v>9</v>
      </c>
      <c r="CT40" s="245">
        <v>0.5</v>
      </c>
      <c r="CU40" s="245">
        <v>0.55555555555555558</v>
      </c>
      <c r="CV40" s="245">
        <v>0.5</v>
      </c>
      <c r="CW40" s="245">
        <v>0.55555555555555558</v>
      </c>
      <c r="CX40" s="412" t="s">
        <v>279</v>
      </c>
      <c r="CY40" s="938"/>
      <c r="CZ40" s="853">
        <v>5.5555555555555554</v>
      </c>
      <c r="DA40" s="245">
        <v>9</v>
      </c>
      <c r="DB40" s="245">
        <v>0.5</v>
      </c>
      <c r="DC40" s="245">
        <v>0.55555555555555558</v>
      </c>
      <c r="DD40" s="245">
        <v>0.5</v>
      </c>
      <c r="DE40" s="245">
        <v>0.55555555555555558</v>
      </c>
      <c r="DF40" s="412" t="s">
        <v>279</v>
      </c>
      <c r="DG40" s="938"/>
      <c r="DH40" s="853">
        <v>0</v>
      </c>
      <c r="DI40" s="1161">
        <v>0</v>
      </c>
      <c r="DJ40" s="1161">
        <v>0.52500000000000002</v>
      </c>
      <c r="DK40" s="245">
        <v>0.58333333333333337</v>
      </c>
      <c r="DL40" s="245">
        <v>1.0249999999999999</v>
      </c>
      <c r="DM40" s="245">
        <v>1.1388888888888888</v>
      </c>
      <c r="DN40" s="412" t="s">
        <v>279</v>
      </c>
      <c r="DO40" s="938"/>
      <c r="DP40" s="853">
        <v>0</v>
      </c>
      <c r="DQ40" s="1161">
        <v>0</v>
      </c>
      <c r="DR40" s="1161"/>
      <c r="DS40" s="245">
        <v>0</v>
      </c>
      <c r="DT40" s="245">
        <v>1.0249999999999999</v>
      </c>
      <c r="DU40" s="245">
        <v>1.1388888888888888</v>
      </c>
      <c r="DV40" s="412" t="s">
        <v>279</v>
      </c>
      <c r="DW40" s="938"/>
      <c r="DX40" s="853">
        <v>0</v>
      </c>
      <c r="DY40" s="1161">
        <v>0</v>
      </c>
      <c r="DZ40" s="1161"/>
      <c r="EA40" s="245">
        <v>0</v>
      </c>
      <c r="EB40" s="245">
        <v>1.0249999999999999</v>
      </c>
      <c r="EC40" s="1233">
        <v>1.1388888888888888</v>
      </c>
      <c r="ED40" s="1171" t="s">
        <v>279</v>
      </c>
      <c r="EE40" s="1230"/>
      <c r="EF40" s="853">
        <v>0</v>
      </c>
      <c r="EG40" s="245">
        <v>0</v>
      </c>
      <c r="EH40" s="245">
        <v>0.52500000000000002</v>
      </c>
      <c r="EI40" s="245">
        <v>0.58333333333333337</v>
      </c>
      <c r="EJ40" s="245">
        <v>1.0249999999999999</v>
      </c>
      <c r="EK40" s="1233">
        <v>1.1388888888888888</v>
      </c>
      <c r="EL40" s="1171" t="s">
        <v>279</v>
      </c>
      <c r="EM40" s="1230"/>
      <c r="EN40" s="853">
        <v>11.388888888888888</v>
      </c>
      <c r="EO40" s="245">
        <v>9</v>
      </c>
      <c r="EP40" s="245">
        <v>1.0249999999999999</v>
      </c>
      <c r="EQ40" s="245">
        <v>1.1388888888888888</v>
      </c>
      <c r="ER40" s="245">
        <v>1.0249999999999999</v>
      </c>
      <c r="ES40" s="1233">
        <v>1.1388888888888888</v>
      </c>
      <c r="ET40" s="1171" t="s">
        <v>279</v>
      </c>
      <c r="EU40" s="1230"/>
      <c r="EV40" s="853">
        <v>11.388888888888888</v>
      </c>
      <c r="EW40" s="245">
        <v>9</v>
      </c>
      <c r="EX40" s="245">
        <v>1.0249999999999999</v>
      </c>
      <c r="EY40" s="245">
        <v>1.1388888888888888</v>
      </c>
      <c r="EZ40" s="367">
        <v>1.0249999999999999</v>
      </c>
      <c r="FA40" s="368">
        <v>1.1388888888888888</v>
      </c>
      <c r="FB40" s="369" t="s">
        <v>279</v>
      </c>
    </row>
    <row r="41" spans="2:158" ht="20.100000000000001" customHeight="1">
      <c r="B41" s="1743"/>
      <c r="C41" s="1746"/>
      <c r="D41" s="179" t="s">
        <v>269</v>
      </c>
      <c r="E41" s="180" t="s">
        <v>134</v>
      </c>
      <c r="F41" s="275">
        <v>50</v>
      </c>
      <c r="G41" s="275">
        <v>10</v>
      </c>
      <c r="H41" s="1229"/>
      <c r="I41" s="456">
        <v>0</v>
      </c>
      <c r="J41" s="457">
        <v>0</v>
      </c>
      <c r="K41" s="297">
        <v>0</v>
      </c>
      <c r="L41" s="1229"/>
      <c r="M41" s="474">
        <v>0</v>
      </c>
      <c r="N41" s="849">
        <v>10</v>
      </c>
      <c r="O41" s="1234"/>
      <c r="P41" s="975">
        <v>0</v>
      </c>
      <c r="Q41" s="861">
        <v>0</v>
      </c>
      <c r="R41" s="412">
        <v>0</v>
      </c>
      <c r="S41" s="938"/>
      <c r="T41" s="975">
        <v>0</v>
      </c>
      <c r="U41" s="976">
        <v>0</v>
      </c>
      <c r="V41" s="412">
        <v>0</v>
      </c>
      <c r="W41" s="938"/>
      <c r="X41" s="975">
        <v>0</v>
      </c>
      <c r="Y41" s="245">
        <v>0</v>
      </c>
      <c r="Z41" s="412">
        <v>0</v>
      </c>
      <c r="AA41" s="938"/>
      <c r="AB41" s="465">
        <v>0</v>
      </c>
      <c r="AC41" s="245">
        <v>0</v>
      </c>
      <c r="AD41" s="245">
        <v>0</v>
      </c>
      <c r="AE41" s="938"/>
      <c r="AF41" s="853">
        <v>0</v>
      </c>
      <c r="AG41" s="1169">
        <v>10</v>
      </c>
      <c r="AH41" s="1169">
        <v>0</v>
      </c>
      <c r="AI41" s="245">
        <v>0</v>
      </c>
      <c r="AJ41" s="245">
        <v>0</v>
      </c>
      <c r="AK41" s="245">
        <v>0</v>
      </c>
      <c r="AL41" s="412" t="s">
        <v>279</v>
      </c>
      <c r="AM41" s="938"/>
      <c r="AN41" s="853">
        <v>20</v>
      </c>
      <c r="AO41" s="1169">
        <v>10</v>
      </c>
      <c r="AP41" s="1169">
        <v>2</v>
      </c>
      <c r="AQ41" s="245">
        <v>0.4</v>
      </c>
      <c r="AR41" s="245">
        <v>2</v>
      </c>
      <c r="AS41" s="245">
        <v>0.4</v>
      </c>
      <c r="AT41" s="412" t="s">
        <v>279</v>
      </c>
      <c r="AU41" s="938"/>
      <c r="AV41" s="853">
        <v>0</v>
      </c>
      <c r="AW41" s="1161">
        <v>10</v>
      </c>
      <c r="AX41" s="1161">
        <v>0</v>
      </c>
      <c r="AY41" s="245">
        <v>0</v>
      </c>
      <c r="AZ41" s="245">
        <v>2</v>
      </c>
      <c r="BA41" s="245">
        <v>0.4</v>
      </c>
      <c r="BB41" s="412" t="s">
        <v>279</v>
      </c>
      <c r="BC41" s="938"/>
      <c r="BD41" s="853">
        <v>6.666666666666667</v>
      </c>
      <c r="BE41" s="245">
        <v>30</v>
      </c>
      <c r="BF41" s="245">
        <v>2</v>
      </c>
      <c r="BG41" s="245">
        <v>0.4</v>
      </c>
      <c r="BH41" s="245">
        <v>2</v>
      </c>
      <c r="BI41" s="245">
        <v>0.4</v>
      </c>
      <c r="BJ41" s="412" t="s">
        <v>279</v>
      </c>
      <c r="BK41" s="938"/>
      <c r="BL41" s="853">
        <v>0</v>
      </c>
      <c r="BM41" s="245"/>
      <c r="BN41" s="245">
        <v>2</v>
      </c>
      <c r="BO41" s="245">
        <v>0.4</v>
      </c>
      <c r="BP41" s="245">
        <v>2</v>
      </c>
      <c r="BQ41" s="245">
        <v>0.4</v>
      </c>
      <c r="BR41" s="412" t="s">
        <v>279</v>
      </c>
      <c r="BS41" s="938"/>
      <c r="BT41" s="853">
        <v>0</v>
      </c>
      <c r="BU41" s="1161">
        <v>0</v>
      </c>
      <c r="BV41" s="1161">
        <v>0</v>
      </c>
      <c r="BW41" s="245">
        <v>0</v>
      </c>
      <c r="BX41" s="245">
        <v>2</v>
      </c>
      <c r="BY41" s="245">
        <v>0.4</v>
      </c>
      <c r="BZ41" s="412" t="s">
        <v>279</v>
      </c>
      <c r="CA41" s="938"/>
      <c r="CB41" s="853">
        <v>0</v>
      </c>
      <c r="CC41" s="1161">
        <v>0</v>
      </c>
      <c r="CD41" s="1161">
        <v>0</v>
      </c>
      <c r="CE41" s="245">
        <v>0</v>
      </c>
      <c r="CF41" s="245">
        <v>2</v>
      </c>
      <c r="CG41" s="245">
        <v>0.4</v>
      </c>
      <c r="CH41" s="412" t="s">
        <v>279</v>
      </c>
      <c r="CI41" s="938"/>
      <c r="CJ41" s="853">
        <v>1350</v>
      </c>
      <c r="CK41" s="1161">
        <v>1.1111111111111112</v>
      </c>
      <c r="CL41" s="1161">
        <v>15</v>
      </c>
      <c r="CM41" s="245">
        <v>3</v>
      </c>
      <c r="CN41" s="245">
        <v>17</v>
      </c>
      <c r="CO41" s="245">
        <v>3.4000000000000004</v>
      </c>
      <c r="CP41" s="412" t="s">
        <v>279</v>
      </c>
      <c r="CQ41" s="938"/>
      <c r="CR41" s="853">
        <v>1350</v>
      </c>
      <c r="CS41" s="245">
        <v>1.1111111111111112</v>
      </c>
      <c r="CT41" s="245">
        <v>15</v>
      </c>
      <c r="CU41" s="245">
        <v>3</v>
      </c>
      <c r="CV41" s="245">
        <v>17</v>
      </c>
      <c r="CW41" s="245">
        <v>3.4000000000000004</v>
      </c>
      <c r="CX41" s="412" t="s">
        <v>279</v>
      </c>
      <c r="CY41" s="938"/>
      <c r="CZ41" s="853">
        <v>1530</v>
      </c>
      <c r="DA41" s="245">
        <v>1.1111111111111112</v>
      </c>
      <c r="DB41" s="245">
        <v>17</v>
      </c>
      <c r="DC41" s="245">
        <v>3.4000000000000004</v>
      </c>
      <c r="DD41" s="245">
        <v>17</v>
      </c>
      <c r="DE41" s="245">
        <v>3.4000000000000004</v>
      </c>
      <c r="DF41" s="412" t="s">
        <v>279</v>
      </c>
      <c r="DG41" s="938"/>
      <c r="DH41" s="853">
        <v>1417.5</v>
      </c>
      <c r="DI41" s="1161">
        <v>1.1111111111111112</v>
      </c>
      <c r="DJ41" s="1161">
        <v>15.75</v>
      </c>
      <c r="DK41" s="245">
        <v>3.1500000000000004</v>
      </c>
      <c r="DL41" s="245">
        <v>32.75</v>
      </c>
      <c r="DM41" s="245">
        <v>6.5500000000000007</v>
      </c>
      <c r="DN41" s="412" t="s">
        <v>279</v>
      </c>
      <c r="DO41" s="938"/>
      <c r="DP41" s="853">
        <v>0</v>
      </c>
      <c r="DQ41" s="1161">
        <v>1.1111111111111112</v>
      </c>
      <c r="DR41" s="1161"/>
      <c r="DS41" s="245">
        <v>0</v>
      </c>
      <c r="DT41" s="245">
        <v>32.75</v>
      </c>
      <c r="DU41" s="245">
        <v>6.5500000000000007</v>
      </c>
      <c r="DV41" s="412" t="s">
        <v>279</v>
      </c>
      <c r="DW41" s="938"/>
      <c r="DX41" s="853">
        <v>0</v>
      </c>
      <c r="DY41" s="1161">
        <v>1.1111111111111112</v>
      </c>
      <c r="DZ41" s="1161"/>
      <c r="EA41" s="245">
        <v>0</v>
      </c>
      <c r="EB41" s="245">
        <v>32.75</v>
      </c>
      <c r="EC41" s="1233">
        <v>6.5500000000000007</v>
      </c>
      <c r="ED41" s="1171" t="s">
        <v>279</v>
      </c>
      <c r="EE41" s="1230"/>
      <c r="EF41" s="853">
        <v>472.49999999999994</v>
      </c>
      <c r="EG41" s="245">
        <v>3.3333333333333335</v>
      </c>
      <c r="EH41" s="245">
        <v>15.75</v>
      </c>
      <c r="EI41" s="245">
        <v>3.1500000000000004</v>
      </c>
      <c r="EJ41" s="245">
        <v>32.75</v>
      </c>
      <c r="EK41" s="1233">
        <v>6.5500000000000007</v>
      </c>
      <c r="EL41" s="1171" t="s">
        <v>279</v>
      </c>
      <c r="EM41" s="1230"/>
      <c r="EN41" s="853">
        <v>691.87499999999989</v>
      </c>
      <c r="EO41" s="245">
        <v>4.4444444444444446</v>
      </c>
      <c r="EP41" s="245">
        <v>30.75</v>
      </c>
      <c r="EQ41" s="245">
        <v>6.15</v>
      </c>
      <c r="ER41" s="245">
        <v>32.75</v>
      </c>
      <c r="ES41" s="1233">
        <v>6.5500000000000007</v>
      </c>
      <c r="ET41" s="1171" t="s">
        <v>279</v>
      </c>
      <c r="EU41" s="1230"/>
      <c r="EV41" s="853">
        <v>736.875</v>
      </c>
      <c r="EW41" s="245">
        <v>4.4444444444444446</v>
      </c>
      <c r="EX41" s="245">
        <v>32.75</v>
      </c>
      <c r="EY41" s="245">
        <v>6.5500000000000007</v>
      </c>
      <c r="EZ41" s="367">
        <v>32.75</v>
      </c>
      <c r="FA41" s="368">
        <v>6.5500000000000007</v>
      </c>
      <c r="FB41" s="369" t="s">
        <v>279</v>
      </c>
    </row>
    <row r="42" spans="2:158" ht="20.100000000000001" customHeight="1" thickBot="1">
      <c r="B42" s="1744"/>
      <c r="C42" s="1747"/>
      <c r="D42" s="431" t="s">
        <v>14</v>
      </c>
      <c r="E42" s="184"/>
      <c r="F42" s="263" t="s">
        <v>4</v>
      </c>
      <c r="G42" s="264">
        <v>100</v>
      </c>
      <c r="H42" s="1229"/>
      <c r="I42" s="456"/>
      <c r="J42" s="458"/>
      <c r="K42" s="459">
        <v>15</v>
      </c>
      <c r="L42" s="1229"/>
      <c r="M42" s="470" t="s">
        <v>4</v>
      </c>
      <c r="N42" s="471"/>
      <c r="O42" s="1230"/>
      <c r="P42" s="466"/>
      <c r="Q42" s="860"/>
      <c r="R42" s="854">
        <v>0</v>
      </c>
      <c r="S42" s="938"/>
      <c r="T42" s="466"/>
      <c r="U42" s="490">
        <v>0</v>
      </c>
      <c r="V42" s="854">
        <v>0</v>
      </c>
      <c r="W42" s="938"/>
      <c r="X42" s="466"/>
      <c r="Y42" s="854">
        <v>0</v>
      </c>
      <c r="Z42" s="854">
        <v>0</v>
      </c>
      <c r="AA42" s="938"/>
      <c r="AB42" s="466"/>
      <c r="AC42" s="854">
        <v>0</v>
      </c>
      <c r="AD42" s="855">
        <v>0</v>
      </c>
      <c r="AE42" s="938"/>
      <c r="AF42" s="970"/>
      <c r="AG42" s="672"/>
      <c r="AH42" s="490"/>
      <c r="AI42" s="854">
        <v>10</v>
      </c>
      <c r="AJ42" s="490"/>
      <c r="AK42" s="490">
        <v>10</v>
      </c>
      <c r="AL42" s="467"/>
      <c r="AM42" s="938"/>
      <c r="AN42" s="970"/>
      <c r="AO42" s="672"/>
      <c r="AP42" s="490"/>
      <c r="AQ42" s="854">
        <v>10.4</v>
      </c>
      <c r="AR42" s="490"/>
      <c r="AS42" s="490">
        <v>20.399999999999999</v>
      </c>
      <c r="AT42" s="467"/>
      <c r="AU42" s="938"/>
      <c r="AV42" s="970"/>
      <c r="AW42" s="672"/>
      <c r="AX42" s="490"/>
      <c r="AY42" s="854">
        <v>3</v>
      </c>
      <c r="AZ42" s="490"/>
      <c r="BA42" s="490">
        <v>23.4</v>
      </c>
      <c r="BB42" s="467"/>
      <c r="BC42" s="938"/>
      <c r="BD42" s="970"/>
      <c r="BE42" s="672"/>
      <c r="BF42" s="490"/>
      <c r="BG42" s="854">
        <v>23.4</v>
      </c>
      <c r="BH42" s="490"/>
      <c r="BI42" s="490">
        <v>23.4</v>
      </c>
      <c r="BJ42" s="467"/>
      <c r="BK42" s="938"/>
      <c r="BL42" s="970"/>
      <c r="BM42" s="672"/>
      <c r="BN42" s="490"/>
      <c r="BO42" s="854">
        <v>23.4</v>
      </c>
      <c r="BP42" s="490"/>
      <c r="BQ42" s="490">
        <v>23.4</v>
      </c>
      <c r="BR42" s="467"/>
      <c r="BS42" s="938"/>
      <c r="BT42" s="970"/>
      <c r="BU42" s="672"/>
      <c r="BV42" s="490"/>
      <c r="BW42" s="854">
        <v>0</v>
      </c>
      <c r="BX42" s="490"/>
      <c r="BY42" s="490">
        <v>23.4</v>
      </c>
      <c r="BZ42" s="467"/>
      <c r="CA42" s="938"/>
      <c r="CB42" s="970"/>
      <c r="CC42" s="672"/>
      <c r="CD42" s="490"/>
      <c r="CE42" s="854">
        <v>0</v>
      </c>
      <c r="CF42" s="490"/>
      <c r="CG42" s="490">
        <v>23.4</v>
      </c>
      <c r="CH42" s="467"/>
      <c r="CI42" s="938"/>
      <c r="CJ42" s="970"/>
      <c r="CK42" s="672"/>
      <c r="CL42" s="490"/>
      <c r="CM42" s="854">
        <v>4.155555555555555</v>
      </c>
      <c r="CN42" s="490"/>
      <c r="CO42" s="490">
        <v>27.555555555555557</v>
      </c>
      <c r="CP42" s="467"/>
      <c r="CQ42" s="938"/>
      <c r="CR42" s="970"/>
      <c r="CS42" s="672"/>
      <c r="CT42" s="490"/>
      <c r="CU42" s="854">
        <v>4.155555555555555</v>
      </c>
      <c r="CV42" s="490"/>
      <c r="CW42" s="490">
        <v>27.555555555555557</v>
      </c>
      <c r="CX42" s="467"/>
      <c r="CY42" s="938"/>
      <c r="CZ42" s="970"/>
      <c r="DA42" s="672"/>
      <c r="DB42" s="490"/>
      <c r="DC42" s="854">
        <v>27.555555555555554</v>
      </c>
      <c r="DD42" s="490"/>
      <c r="DE42" s="490">
        <v>27.555555555555557</v>
      </c>
      <c r="DF42" s="467"/>
      <c r="DG42" s="938"/>
      <c r="DH42" s="970"/>
      <c r="DI42" s="672"/>
      <c r="DJ42" s="490"/>
      <c r="DK42" s="854">
        <v>4.3633333333333333</v>
      </c>
      <c r="DL42" s="490"/>
      <c r="DM42" s="490">
        <v>31.91888888888889</v>
      </c>
      <c r="DN42" s="467"/>
      <c r="DO42" s="938"/>
      <c r="DP42" s="970"/>
      <c r="DQ42" s="672"/>
      <c r="DR42" s="490"/>
      <c r="DS42" s="854">
        <v>0</v>
      </c>
      <c r="DT42" s="490"/>
      <c r="DU42" s="490">
        <v>31.91888888888889</v>
      </c>
      <c r="DV42" s="467"/>
      <c r="DW42" s="938"/>
      <c r="DX42" s="970"/>
      <c r="DY42" s="672"/>
      <c r="DZ42" s="490"/>
      <c r="EA42" s="854">
        <v>0</v>
      </c>
      <c r="EB42" s="265"/>
      <c r="EC42" s="260">
        <v>31.91888888888889</v>
      </c>
      <c r="ED42" s="471"/>
      <c r="EE42" s="1230"/>
      <c r="EF42" s="970"/>
      <c r="EG42" s="672"/>
      <c r="EH42" s="490"/>
      <c r="EI42" s="259">
        <v>4.3633333333333333</v>
      </c>
      <c r="EJ42" s="265"/>
      <c r="EK42" s="260">
        <v>31.91888888888889</v>
      </c>
      <c r="EL42" s="471"/>
      <c r="EM42" s="1230"/>
      <c r="EN42" s="970"/>
      <c r="EO42" s="672"/>
      <c r="EP42" s="490"/>
      <c r="EQ42" s="259">
        <v>8.5188888888888883</v>
      </c>
      <c r="ER42" s="265"/>
      <c r="ES42" s="260">
        <v>31.91888888888889</v>
      </c>
      <c r="ET42" s="471"/>
      <c r="EU42" s="1230"/>
      <c r="EV42" s="970"/>
      <c r="EW42" s="672"/>
      <c r="EX42" s="265"/>
      <c r="EY42" s="259">
        <v>31.918888888888887</v>
      </c>
      <c r="EZ42" s="370"/>
      <c r="FA42" s="370">
        <v>31.91888888888889</v>
      </c>
      <c r="FB42" s="371"/>
    </row>
    <row r="43" spans="2:158" ht="20.100000000000001" customHeight="1">
      <c r="B43" s="1748" t="s">
        <v>41</v>
      </c>
      <c r="C43" s="1750" t="s">
        <v>135</v>
      </c>
      <c r="D43" s="181" t="s">
        <v>128</v>
      </c>
      <c r="E43" s="182" t="s">
        <v>171</v>
      </c>
      <c r="F43" s="273">
        <v>12000</v>
      </c>
      <c r="G43" s="240">
        <v>10</v>
      </c>
      <c r="H43" s="1229"/>
      <c r="I43" s="448">
        <v>500</v>
      </c>
      <c r="J43" s="450">
        <v>50.04</v>
      </c>
      <c r="K43" s="288">
        <v>0.41699999999999998</v>
      </c>
      <c r="L43" s="1229"/>
      <c r="M43" s="468">
        <v>750</v>
      </c>
      <c r="N43" s="850">
        <v>1199.96</v>
      </c>
      <c r="O43" s="1230"/>
      <c r="P43" s="465">
        <v>0</v>
      </c>
      <c r="Q43" s="859">
        <v>0</v>
      </c>
      <c r="R43" s="412">
        <v>0</v>
      </c>
      <c r="S43" s="938"/>
      <c r="T43" s="852">
        <v>1.5</v>
      </c>
      <c r="U43" s="243">
        <v>17.999400000000001</v>
      </c>
      <c r="V43" s="412">
        <v>1.4999500000000001E-2</v>
      </c>
      <c r="W43" s="938"/>
      <c r="X43" s="852">
        <v>1.5</v>
      </c>
      <c r="Y43" s="245">
        <v>17.999400000000001</v>
      </c>
      <c r="Z43" s="412">
        <v>1.4999500000000001E-2</v>
      </c>
      <c r="AA43" s="938"/>
      <c r="AB43" s="465">
        <v>1</v>
      </c>
      <c r="AC43" s="245">
        <v>11.999600000000001</v>
      </c>
      <c r="AD43" s="245">
        <v>9.9996666666666689E-3</v>
      </c>
      <c r="AE43" s="938"/>
      <c r="AF43" s="853">
        <v>0</v>
      </c>
      <c r="AG43" s="1169">
        <v>750</v>
      </c>
      <c r="AH43" s="1169">
        <v>0</v>
      </c>
      <c r="AI43" s="245">
        <v>0</v>
      </c>
      <c r="AJ43" s="245">
        <v>11.999600000000001</v>
      </c>
      <c r="AK43" s="245">
        <v>9.9996666666666689E-3</v>
      </c>
      <c r="AL43" s="411" t="s">
        <v>279</v>
      </c>
      <c r="AM43" s="938"/>
      <c r="AN43" s="853">
        <v>0</v>
      </c>
      <c r="AO43" s="1169">
        <v>750</v>
      </c>
      <c r="AP43" s="1169">
        <v>0</v>
      </c>
      <c r="AQ43" s="245">
        <v>0</v>
      </c>
      <c r="AR43" s="245">
        <v>11.999600000000001</v>
      </c>
      <c r="AS43" s="245">
        <v>9.9996666666666689E-3</v>
      </c>
      <c r="AT43" s="411" t="s">
        <v>279</v>
      </c>
      <c r="AU43" s="938"/>
      <c r="AV43" s="853">
        <v>2.666666666666667</v>
      </c>
      <c r="AW43" s="1161">
        <v>750</v>
      </c>
      <c r="AX43" s="1161">
        <v>20</v>
      </c>
      <c r="AY43" s="245">
        <v>1.6666666666666666E-2</v>
      </c>
      <c r="AZ43" s="245">
        <v>31.999600000000001</v>
      </c>
      <c r="BA43" s="245">
        <v>2.6666333333333337E-2</v>
      </c>
      <c r="BB43" s="411" t="s">
        <v>279</v>
      </c>
      <c r="BC43" s="938"/>
      <c r="BD43" s="853">
        <v>0.88888888888888884</v>
      </c>
      <c r="BE43" s="245">
        <v>2250</v>
      </c>
      <c r="BF43" s="245">
        <v>20</v>
      </c>
      <c r="BG43" s="245">
        <v>1.6666666666666666E-2</v>
      </c>
      <c r="BH43" s="245">
        <v>31.999600000000001</v>
      </c>
      <c r="BI43" s="245">
        <v>2.6666333333333337E-2</v>
      </c>
      <c r="BJ43" s="411" t="s">
        <v>279</v>
      </c>
      <c r="BK43" s="938"/>
      <c r="BL43" s="853">
        <v>0</v>
      </c>
      <c r="BM43" s="245"/>
      <c r="BN43" s="245">
        <v>31.999600000000001</v>
      </c>
      <c r="BO43" s="245">
        <v>2.6666333333333337E-2</v>
      </c>
      <c r="BP43" s="245">
        <v>31.999600000000001</v>
      </c>
      <c r="BQ43" s="245">
        <v>2.6666333333333337E-2</v>
      </c>
      <c r="BR43" s="411" t="s">
        <v>279</v>
      </c>
      <c r="BS43" s="938"/>
      <c r="BT43" s="853">
        <v>0.66666666666666674</v>
      </c>
      <c r="BU43" s="1161">
        <v>750</v>
      </c>
      <c r="BV43" s="1161">
        <v>5</v>
      </c>
      <c r="BW43" s="245">
        <v>4.1666666666666666E-3</v>
      </c>
      <c r="BX43" s="245">
        <v>36.999600000000001</v>
      </c>
      <c r="BY43" s="245">
        <v>3.0833000000000003E-2</v>
      </c>
      <c r="BZ43" s="411" t="s">
        <v>279</v>
      </c>
      <c r="CA43" s="938"/>
      <c r="CB43" s="853">
        <v>41.251375045834862</v>
      </c>
      <c r="CC43" s="1169">
        <v>133.32888888888888</v>
      </c>
      <c r="CD43" s="1161">
        <v>55</v>
      </c>
      <c r="CE43" s="245">
        <v>4.5833333333333337E-2</v>
      </c>
      <c r="CF43" s="245">
        <v>91.999600000000001</v>
      </c>
      <c r="CG43" s="245">
        <v>7.6666333333333336E-2</v>
      </c>
      <c r="CH43" s="411" t="s">
        <v>279</v>
      </c>
      <c r="CI43" s="938"/>
      <c r="CJ43" s="853">
        <v>120.00400013333778</v>
      </c>
      <c r="CK43" s="1161">
        <v>133.32888888888888</v>
      </c>
      <c r="CL43" s="1161">
        <v>160</v>
      </c>
      <c r="CM43" s="245">
        <v>0.13333333333333333</v>
      </c>
      <c r="CN43" s="245">
        <v>251.99959999999999</v>
      </c>
      <c r="CO43" s="245">
        <v>0.20999966666666667</v>
      </c>
      <c r="CP43" s="411" t="s">
        <v>279</v>
      </c>
      <c r="CQ43" s="938"/>
      <c r="CR43" s="853">
        <v>21.639533460401843</v>
      </c>
      <c r="CS43" s="245">
        <v>1016.6577777777777</v>
      </c>
      <c r="CT43" s="245">
        <v>220</v>
      </c>
      <c r="CU43" s="245">
        <v>0.18333333333333335</v>
      </c>
      <c r="CV43" s="245">
        <v>251.99959999999999</v>
      </c>
      <c r="CW43" s="245">
        <v>0.20999966666666667</v>
      </c>
      <c r="CX43" s="411" t="s">
        <v>279</v>
      </c>
      <c r="CY43" s="938"/>
      <c r="CZ43" s="853">
        <v>24.787062619126726</v>
      </c>
      <c r="DA43" s="245">
        <v>1016.6577777777777</v>
      </c>
      <c r="DB43" s="245">
        <v>251.99959999999999</v>
      </c>
      <c r="DC43" s="245">
        <v>0.20999966666666667</v>
      </c>
      <c r="DD43" s="245">
        <v>251.99959999999999</v>
      </c>
      <c r="DE43" s="245">
        <v>0.20999966666666667</v>
      </c>
      <c r="DF43" s="411" t="s">
        <v>279</v>
      </c>
      <c r="DG43" s="938"/>
      <c r="DH43" s="853">
        <v>126.00420014000466</v>
      </c>
      <c r="DI43" s="1161">
        <v>133.32888888888888</v>
      </c>
      <c r="DJ43" s="1161">
        <v>168</v>
      </c>
      <c r="DK43" s="245">
        <v>0.14000000000000001</v>
      </c>
      <c r="DL43" s="245">
        <v>419.99959999999999</v>
      </c>
      <c r="DM43" s="245">
        <v>0.34999966666666665</v>
      </c>
      <c r="DN43" s="411" t="s">
        <v>279</v>
      </c>
      <c r="DO43" s="938"/>
      <c r="DP43" s="853">
        <v>0</v>
      </c>
      <c r="DQ43" s="1161">
        <v>133.32888888888888</v>
      </c>
      <c r="DR43" s="1161"/>
      <c r="DS43" s="245">
        <v>0</v>
      </c>
      <c r="DT43" s="245">
        <v>419.99959999999999</v>
      </c>
      <c r="DU43" s="245">
        <v>0.34999966666666665</v>
      </c>
      <c r="DV43" s="411" t="s">
        <v>279</v>
      </c>
      <c r="DW43" s="938"/>
      <c r="DX43" s="853">
        <v>0</v>
      </c>
      <c r="DY43" s="1161">
        <v>133.32888888888888</v>
      </c>
      <c r="DZ43" s="1161"/>
      <c r="EA43" s="245">
        <v>0</v>
      </c>
      <c r="EB43" s="245">
        <v>419.99959999999999</v>
      </c>
      <c r="EC43" s="1233">
        <v>0.34999966666666665</v>
      </c>
      <c r="ED43" s="1168" t="s">
        <v>279</v>
      </c>
      <c r="EE43" s="1230"/>
      <c r="EF43" s="853">
        <v>42.001400046668216</v>
      </c>
      <c r="EG43" s="245">
        <v>399.98666666666668</v>
      </c>
      <c r="EH43" s="245">
        <v>168</v>
      </c>
      <c r="EI43" s="245">
        <v>0.14000000000000001</v>
      </c>
      <c r="EJ43" s="245">
        <v>419.99959999999999</v>
      </c>
      <c r="EK43" s="1233">
        <v>0.34999966666666665</v>
      </c>
      <c r="EL43" s="1168" t="s">
        <v>279</v>
      </c>
      <c r="EM43" s="1230"/>
      <c r="EN43" s="853">
        <v>27.388664920234046</v>
      </c>
      <c r="EO43" s="245">
        <v>1416.6444444444444</v>
      </c>
      <c r="EP43" s="245">
        <v>388</v>
      </c>
      <c r="EQ43" s="245">
        <v>0.32333333333333336</v>
      </c>
      <c r="ER43" s="245">
        <v>419.99959999999999</v>
      </c>
      <c r="ES43" s="1233">
        <v>0.34999966666666665</v>
      </c>
      <c r="ET43" s="1168" t="s">
        <v>279</v>
      </c>
      <c r="EU43" s="1230"/>
      <c r="EV43" s="853">
        <v>29.647495646990542</v>
      </c>
      <c r="EW43" s="245">
        <v>1416.6444444444444</v>
      </c>
      <c r="EX43" s="245">
        <v>419.99959999999999</v>
      </c>
      <c r="EY43" s="245">
        <v>0.34999966666666665</v>
      </c>
      <c r="EZ43" s="367">
        <v>419.99959999999999</v>
      </c>
      <c r="FA43" s="368">
        <v>0.34999966666666665</v>
      </c>
      <c r="FB43" s="372" t="s">
        <v>279</v>
      </c>
    </row>
    <row r="44" spans="2:158" ht="20.100000000000001" customHeight="1">
      <c r="B44" s="1733"/>
      <c r="C44" s="1737"/>
      <c r="D44" s="178" t="s">
        <v>10</v>
      </c>
      <c r="E44" s="174" t="s">
        <v>172</v>
      </c>
      <c r="F44" s="250">
        <v>4</v>
      </c>
      <c r="G44" s="251">
        <v>20</v>
      </c>
      <c r="H44" s="1229"/>
      <c r="I44" s="449">
        <v>1</v>
      </c>
      <c r="J44" s="313">
        <v>0.26667999999999997</v>
      </c>
      <c r="K44" s="293">
        <v>6.6669999999999998</v>
      </c>
      <c r="L44" s="1229"/>
      <c r="M44" s="272">
        <v>1</v>
      </c>
      <c r="N44" s="464">
        <v>1.73332</v>
      </c>
      <c r="O44" s="1234"/>
      <c r="P44" s="465">
        <v>0</v>
      </c>
      <c r="Q44" s="859">
        <v>0</v>
      </c>
      <c r="R44" s="412">
        <v>0</v>
      </c>
      <c r="S44" s="938"/>
      <c r="T44" s="465">
        <v>5</v>
      </c>
      <c r="U44" s="245">
        <v>8.6665999999999993E-2</v>
      </c>
      <c r="V44" s="412">
        <v>0.43332999999999999</v>
      </c>
      <c r="W44" s="938"/>
      <c r="X44" s="465">
        <v>5</v>
      </c>
      <c r="Y44" s="245">
        <v>8.6665999999999993E-2</v>
      </c>
      <c r="Z44" s="412">
        <v>0.43332999999999999</v>
      </c>
      <c r="AA44" s="938"/>
      <c r="AB44" s="465">
        <v>3.3333333333333335</v>
      </c>
      <c r="AC44" s="245">
        <v>5.777733333333334E-2</v>
      </c>
      <c r="AD44" s="245">
        <v>0.28888666666666668</v>
      </c>
      <c r="AE44" s="938"/>
      <c r="AF44" s="853">
        <v>0</v>
      </c>
      <c r="AG44" s="1169">
        <v>1.8</v>
      </c>
      <c r="AH44" s="1169">
        <v>0</v>
      </c>
      <c r="AI44" s="245">
        <v>0</v>
      </c>
      <c r="AJ44" s="245">
        <v>5.777733333333334E-2</v>
      </c>
      <c r="AK44" s="245">
        <v>0.28888666666666668</v>
      </c>
      <c r="AL44" s="412" t="s">
        <v>279</v>
      </c>
      <c r="AM44" s="938"/>
      <c r="AN44" s="853">
        <v>0</v>
      </c>
      <c r="AO44" s="1169">
        <v>1.8</v>
      </c>
      <c r="AP44" s="1169">
        <v>0</v>
      </c>
      <c r="AQ44" s="245">
        <v>0</v>
      </c>
      <c r="AR44" s="245">
        <v>5.777733333333334E-2</v>
      </c>
      <c r="AS44" s="245">
        <v>0.28888666666666668</v>
      </c>
      <c r="AT44" s="412" t="s">
        <v>279</v>
      </c>
      <c r="AU44" s="938"/>
      <c r="AV44" s="853">
        <v>0</v>
      </c>
      <c r="AW44" s="1161">
        <v>1.8</v>
      </c>
      <c r="AX44" s="1161">
        <v>0</v>
      </c>
      <c r="AY44" s="245">
        <v>0</v>
      </c>
      <c r="AZ44" s="245">
        <v>5.777733333333334E-2</v>
      </c>
      <c r="BA44" s="245">
        <v>0.28888666666666668</v>
      </c>
      <c r="BB44" s="412" t="s">
        <v>279</v>
      </c>
      <c r="BC44" s="938"/>
      <c r="BD44" s="853">
        <v>0</v>
      </c>
      <c r="BE44" s="245">
        <v>5.4</v>
      </c>
      <c r="BF44" s="245">
        <v>0</v>
      </c>
      <c r="BG44" s="245">
        <v>0</v>
      </c>
      <c r="BH44" s="245">
        <v>5.777733333333334E-2</v>
      </c>
      <c r="BI44" s="245">
        <v>0.28888666666666668</v>
      </c>
      <c r="BJ44" s="412" t="s">
        <v>279</v>
      </c>
      <c r="BK44" s="938"/>
      <c r="BL44" s="853">
        <v>0</v>
      </c>
      <c r="BM44" s="245"/>
      <c r="BN44" s="245">
        <v>5.777733333333334E-2</v>
      </c>
      <c r="BO44" s="245">
        <v>0.28888666666666668</v>
      </c>
      <c r="BP44" s="245">
        <v>5.777733333333334E-2</v>
      </c>
      <c r="BQ44" s="245">
        <v>0.28888666666666668</v>
      </c>
      <c r="BR44" s="412" t="s">
        <v>279</v>
      </c>
      <c r="BS44" s="938"/>
      <c r="BT44" s="853">
        <v>0</v>
      </c>
      <c r="BU44" s="1161">
        <v>1.8</v>
      </c>
      <c r="BV44" s="1161">
        <v>0</v>
      </c>
      <c r="BW44" s="245">
        <v>0</v>
      </c>
      <c r="BX44" s="245">
        <v>5.777733333333334E-2</v>
      </c>
      <c r="BY44" s="245">
        <v>0.28888666666666668</v>
      </c>
      <c r="BZ44" s="412" t="s">
        <v>279</v>
      </c>
      <c r="CA44" s="938"/>
      <c r="CB44" s="853">
        <v>0</v>
      </c>
      <c r="CC44" s="1169">
        <v>0.1925911111111111</v>
      </c>
      <c r="CD44" s="1161">
        <v>0</v>
      </c>
      <c r="CE44" s="245">
        <v>0</v>
      </c>
      <c r="CF44" s="245">
        <v>5.777733333333334E-2</v>
      </c>
      <c r="CG44" s="245">
        <v>0.28888666666666668</v>
      </c>
      <c r="CH44" s="412" t="s">
        <v>279</v>
      </c>
      <c r="CI44" s="938"/>
      <c r="CJ44" s="853">
        <v>0</v>
      </c>
      <c r="CK44" s="1161">
        <v>0.1925911111111111</v>
      </c>
      <c r="CL44" s="1161">
        <v>0</v>
      </c>
      <c r="CM44" s="245">
        <v>0</v>
      </c>
      <c r="CN44" s="245">
        <v>5.777733333333334E-2</v>
      </c>
      <c r="CO44" s="245">
        <v>0.28888666666666668</v>
      </c>
      <c r="CP44" s="412" t="s">
        <v>279</v>
      </c>
      <c r="CQ44" s="938"/>
      <c r="CR44" s="853">
        <v>0</v>
      </c>
      <c r="CS44" s="245">
        <v>2.1851822222222221</v>
      </c>
      <c r="CT44" s="245">
        <v>0</v>
      </c>
      <c r="CU44" s="245">
        <v>0</v>
      </c>
      <c r="CV44" s="245">
        <v>5.777733333333334E-2</v>
      </c>
      <c r="CW44" s="245">
        <v>0.28888666666666668</v>
      </c>
      <c r="CX44" s="412" t="s">
        <v>279</v>
      </c>
      <c r="CY44" s="938"/>
      <c r="CZ44" s="853">
        <v>2.6440510427810753</v>
      </c>
      <c r="DA44" s="245">
        <v>2.1851822222222221</v>
      </c>
      <c r="DB44" s="245">
        <v>5.777733333333334E-2</v>
      </c>
      <c r="DC44" s="245">
        <v>0.28888666666666668</v>
      </c>
      <c r="DD44" s="245">
        <v>5.777733333333334E-2</v>
      </c>
      <c r="DE44" s="245">
        <v>0.28888666666666668</v>
      </c>
      <c r="DF44" s="412" t="s">
        <v>279</v>
      </c>
      <c r="DG44" s="938"/>
      <c r="DH44" s="853">
        <v>0</v>
      </c>
      <c r="DI44" s="1161">
        <v>0.1925911111111111</v>
      </c>
      <c r="DJ44" s="1161">
        <v>0</v>
      </c>
      <c r="DK44" s="245">
        <v>0</v>
      </c>
      <c r="DL44" s="245">
        <v>5.777733333333334E-2</v>
      </c>
      <c r="DM44" s="245">
        <v>0.28888666666666668</v>
      </c>
      <c r="DN44" s="412" t="s">
        <v>279</v>
      </c>
      <c r="DO44" s="938"/>
      <c r="DP44" s="853">
        <v>0</v>
      </c>
      <c r="DQ44" s="1161">
        <v>0.1925911111111111</v>
      </c>
      <c r="DR44" s="1161"/>
      <c r="DS44" s="245">
        <v>0</v>
      </c>
      <c r="DT44" s="245">
        <v>5.777733333333334E-2</v>
      </c>
      <c r="DU44" s="245">
        <v>0.28888666666666668</v>
      </c>
      <c r="DV44" s="412" t="s">
        <v>279</v>
      </c>
      <c r="DW44" s="938"/>
      <c r="DX44" s="853">
        <v>0</v>
      </c>
      <c r="DY44" s="1161">
        <v>0.1925911111111111</v>
      </c>
      <c r="DZ44" s="1161"/>
      <c r="EA44" s="245">
        <v>0</v>
      </c>
      <c r="EB44" s="245">
        <v>5.777733333333334E-2</v>
      </c>
      <c r="EC44" s="1233">
        <v>0.28888666666666668</v>
      </c>
      <c r="ED44" s="1171" t="s">
        <v>279</v>
      </c>
      <c r="EE44" s="1230"/>
      <c r="EF44" s="853">
        <v>0</v>
      </c>
      <c r="EG44" s="245">
        <v>0.57777333333333325</v>
      </c>
      <c r="EH44" s="245">
        <v>0</v>
      </c>
      <c r="EI44" s="245">
        <v>0</v>
      </c>
      <c r="EJ44" s="245">
        <v>5.777733333333334E-2</v>
      </c>
      <c r="EK44" s="1233">
        <v>0.28888666666666668</v>
      </c>
      <c r="EL44" s="1171" t="s">
        <v>279</v>
      </c>
      <c r="EM44" s="1230"/>
      <c r="EN44" s="853">
        <v>0</v>
      </c>
      <c r="EO44" s="245">
        <v>2.7629555555555552</v>
      </c>
      <c r="EP44" s="245">
        <v>0</v>
      </c>
      <c r="EQ44" s="245">
        <v>0</v>
      </c>
      <c r="ER44" s="245">
        <v>5.777733333333334E-2</v>
      </c>
      <c r="ES44" s="1233">
        <v>0.28888666666666668</v>
      </c>
      <c r="ET44" s="1171" t="s">
        <v>279</v>
      </c>
      <c r="EU44" s="1230"/>
      <c r="EV44" s="853">
        <v>2.0911423355022407</v>
      </c>
      <c r="EW44" s="245">
        <v>2.7629555555555552</v>
      </c>
      <c r="EX44" s="245">
        <v>5.777733333333334E-2</v>
      </c>
      <c r="EY44" s="245">
        <v>0.28888666666666668</v>
      </c>
      <c r="EZ44" s="367">
        <v>5.777733333333334E-2</v>
      </c>
      <c r="FA44" s="368">
        <v>0.28888666666666668</v>
      </c>
      <c r="FB44" s="369" t="s">
        <v>279</v>
      </c>
    </row>
    <row r="45" spans="2:158" ht="20.100000000000001" customHeight="1">
      <c r="B45" s="1733"/>
      <c r="C45" s="1737"/>
      <c r="D45" s="178" t="s">
        <v>154</v>
      </c>
      <c r="E45" s="174" t="s">
        <v>172</v>
      </c>
      <c r="F45" s="250">
        <v>4</v>
      </c>
      <c r="G45" s="251">
        <v>50</v>
      </c>
      <c r="H45" s="1229"/>
      <c r="I45" s="449">
        <v>1</v>
      </c>
      <c r="J45" s="313">
        <v>8.0000000000000007E-5</v>
      </c>
      <c r="K45" s="293">
        <v>2E-3</v>
      </c>
      <c r="L45" s="1229"/>
      <c r="M45" s="272">
        <v>1</v>
      </c>
      <c r="N45" s="464">
        <v>1.9999199999999999</v>
      </c>
      <c r="O45" s="1234"/>
      <c r="P45" s="465">
        <v>0</v>
      </c>
      <c r="Q45" s="859">
        <v>0</v>
      </c>
      <c r="R45" s="412">
        <v>0</v>
      </c>
      <c r="S45" s="938"/>
      <c r="T45" s="465">
        <v>5</v>
      </c>
      <c r="U45" s="245">
        <v>9.9995999999999988E-2</v>
      </c>
      <c r="V45" s="412">
        <v>1.2499499999999999</v>
      </c>
      <c r="W45" s="938"/>
      <c r="X45" s="465">
        <v>6</v>
      </c>
      <c r="Y45" s="245">
        <v>0.11999520000000001</v>
      </c>
      <c r="Z45" s="412">
        <v>1.4999400000000001</v>
      </c>
      <c r="AA45" s="938"/>
      <c r="AB45" s="465">
        <v>3.6666666666666665</v>
      </c>
      <c r="AC45" s="245">
        <v>7.333039999999999E-2</v>
      </c>
      <c r="AD45" s="245">
        <v>0.91662999999999983</v>
      </c>
      <c r="AE45" s="938"/>
      <c r="AF45" s="853">
        <v>0</v>
      </c>
      <c r="AG45" s="1169">
        <v>2</v>
      </c>
      <c r="AH45" s="1169">
        <v>0</v>
      </c>
      <c r="AI45" s="245">
        <v>0</v>
      </c>
      <c r="AJ45" s="245">
        <v>7.333039999999999E-2</v>
      </c>
      <c r="AK45" s="245">
        <v>0.91662999999999983</v>
      </c>
      <c r="AL45" s="412" t="s">
        <v>279</v>
      </c>
      <c r="AM45" s="938"/>
      <c r="AN45" s="853">
        <v>0</v>
      </c>
      <c r="AO45" s="1169">
        <v>2</v>
      </c>
      <c r="AP45" s="1169">
        <v>0</v>
      </c>
      <c r="AQ45" s="245">
        <v>0</v>
      </c>
      <c r="AR45" s="245">
        <v>7.333039999999999E-2</v>
      </c>
      <c r="AS45" s="245">
        <v>0.91662999999999983</v>
      </c>
      <c r="AT45" s="412" t="s">
        <v>279</v>
      </c>
      <c r="AU45" s="938"/>
      <c r="AV45" s="853">
        <v>0</v>
      </c>
      <c r="AW45" s="1161">
        <v>2</v>
      </c>
      <c r="AX45" s="1161">
        <v>0</v>
      </c>
      <c r="AY45" s="245">
        <v>0</v>
      </c>
      <c r="AZ45" s="245">
        <v>7.333039999999999E-2</v>
      </c>
      <c r="BA45" s="245">
        <v>0.91662999999999983</v>
      </c>
      <c r="BB45" s="412" t="s">
        <v>279</v>
      </c>
      <c r="BC45" s="938"/>
      <c r="BD45" s="853">
        <v>0</v>
      </c>
      <c r="BE45" s="245">
        <v>6</v>
      </c>
      <c r="BF45" s="245">
        <v>0</v>
      </c>
      <c r="BG45" s="245">
        <v>0</v>
      </c>
      <c r="BH45" s="245">
        <v>7.333039999999999E-2</v>
      </c>
      <c r="BI45" s="245">
        <v>0.91662999999999983</v>
      </c>
      <c r="BJ45" s="412" t="s">
        <v>279</v>
      </c>
      <c r="BK45" s="938"/>
      <c r="BL45" s="853">
        <v>0</v>
      </c>
      <c r="BM45" s="245"/>
      <c r="BN45" s="245">
        <v>7.333039999999999E-2</v>
      </c>
      <c r="BO45" s="245">
        <v>0.91662999999999983</v>
      </c>
      <c r="BP45" s="245">
        <v>7.333039999999999E-2</v>
      </c>
      <c r="BQ45" s="245">
        <v>0.91662999999999983</v>
      </c>
      <c r="BR45" s="412" t="s">
        <v>279</v>
      </c>
      <c r="BS45" s="938"/>
      <c r="BT45" s="853">
        <v>0</v>
      </c>
      <c r="BU45" s="1161">
        <v>2</v>
      </c>
      <c r="BV45" s="1161">
        <v>0</v>
      </c>
      <c r="BW45" s="245">
        <v>0</v>
      </c>
      <c r="BX45" s="245">
        <v>7.333039999999999E-2</v>
      </c>
      <c r="BY45" s="245">
        <v>0.91662999999999983</v>
      </c>
      <c r="BZ45" s="412" t="s">
        <v>279</v>
      </c>
      <c r="CA45" s="938"/>
      <c r="CB45" s="853">
        <v>0</v>
      </c>
      <c r="CC45" s="1169">
        <v>0.22221333333333332</v>
      </c>
      <c r="CD45" s="1161">
        <v>0</v>
      </c>
      <c r="CE45" s="245">
        <v>0</v>
      </c>
      <c r="CF45" s="245">
        <v>7.333039999999999E-2</v>
      </c>
      <c r="CG45" s="245">
        <v>0.91662999999999983</v>
      </c>
      <c r="CH45" s="412" t="s">
        <v>279</v>
      </c>
      <c r="CI45" s="938"/>
      <c r="CJ45" s="853">
        <v>0</v>
      </c>
      <c r="CK45" s="1161">
        <v>0.22221333333333332</v>
      </c>
      <c r="CL45" s="1161">
        <v>0</v>
      </c>
      <c r="CM45" s="245">
        <v>0</v>
      </c>
      <c r="CN45" s="245">
        <v>7.333039999999999E-2</v>
      </c>
      <c r="CO45" s="245">
        <v>0.91662999999999983</v>
      </c>
      <c r="CP45" s="412" t="s">
        <v>279</v>
      </c>
      <c r="CQ45" s="938"/>
      <c r="CR45" s="853">
        <v>0</v>
      </c>
      <c r="CS45" s="245">
        <v>2.4444266666666667</v>
      </c>
      <c r="CT45" s="245">
        <v>0</v>
      </c>
      <c r="CU45" s="245">
        <v>0</v>
      </c>
      <c r="CV45" s="245">
        <v>7.333039999999999E-2</v>
      </c>
      <c r="CW45" s="245">
        <v>0.91662999999999983</v>
      </c>
      <c r="CX45" s="412" t="s">
        <v>279</v>
      </c>
      <c r="CY45" s="938"/>
      <c r="CZ45" s="853">
        <v>2.9999018174677627</v>
      </c>
      <c r="DA45" s="245">
        <v>2.4444266666666667</v>
      </c>
      <c r="DB45" s="245">
        <v>7.333039999999999E-2</v>
      </c>
      <c r="DC45" s="245">
        <v>0.91662999999999983</v>
      </c>
      <c r="DD45" s="245">
        <v>7.333039999999999E-2</v>
      </c>
      <c r="DE45" s="245">
        <v>0.91662999999999983</v>
      </c>
      <c r="DF45" s="412" t="s">
        <v>279</v>
      </c>
      <c r="DG45" s="938"/>
      <c r="DH45" s="853">
        <v>0</v>
      </c>
      <c r="DI45" s="1161">
        <v>0.22221333333333332</v>
      </c>
      <c r="DJ45" s="1161">
        <v>0</v>
      </c>
      <c r="DK45" s="245">
        <v>0</v>
      </c>
      <c r="DL45" s="245">
        <v>7.333039999999999E-2</v>
      </c>
      <c r="DM45" s="245">
        <v>0.91662999999999983</v>
      </c>
      <c r="DN45" s="412" t="s">
        <v>279</v>
      </c>
      <c r="DO45" s="938"/>
      <c r="DP45" s="853">
        <v>0</v>
      </c>
      <c r="DQ45" s="1161">
        <v>0.22221333333333332</v>
      </c>
      <c r="DR45" s="1161"/>
      <c r="DS45" s="245">
        <v>0</v>
      </c>
      <c r="DT45" s="245">
        <v>7.333039999999999E-2</v>
      </c>
      <c r="DU45" s="245">
        <v>0.91662999999999983</v>
      </c>
      <c r="DV45" s="412" t="s">
        <v>279</v>
      </c>
      <c r="DW45" s="938"/>
      <c r="DX45" s="853">
        <v>0</v>
      </c>
      <c r="DY45" s="1161">
        <v>0.22221333333333332</v>
      </c>
      <c r="DZ45" s="1161"/>
      <c r="EA45" s="245">
        <v>0</v>
      </c>
      <c r="EB45" s="245">
        <v>7.333039999999999E-2</v>
      </c>
      <c r="EC45" s="1233">
        <v>0.91662999999999983</v>
      </c>
      <c r="ED45" s="1171" t="s">
        <v>279</v>
      </c>
      <c r="EE45" s="1230"/>
      <c r="EF45" s="853">
        <v>0</v>
      </c>
      <c r="EG45" s="245">
        <v>0.6666399999999999</v>
      </c>
      <c r="EH45" s="245">
        <v>0</v>
      </c>
      <c r="EI45" s="245">
        <v>0</v>
      </c>
      <c r="EJ45" s="245">
        <v>7.333039999999999E-2</v>
      </c>
      <c r="EK45" s="1233">
        <v>0.91662999999999983</v>
      </c>
      <c r="EL45" s="1171" t="s">
        <v>279</v>
      </c>
      <c r="EM45" s="1230"/>
      <c r="EN45" s="853">
        <v>0</v>
      </c>
      <c r="EO45" s="245">
        <v>3.1110666666666669</v>
      </c>
      <c r="EP45" s="245">
        <v>0</v>
      </c>
      <c r="EQ45" s="245">
        <v>0</v>
      </c>
      <c r="ER45" s="245">
        <v>7.333039999999999E-2</v>
      </c>
      <c r="ES45" s="1233">
        <v>0.91662999999999983</v>
      </c>
      <c r="ET45" s="1171" t="s">
        <v>279</v>
      </c>
      <c r="EU45" s="1230"/>
      <c r="EV45" s="853">
        <v>2.3570822440320569</v>
      </c>
      <c r="EW45" s="245">
        <v>3.1110666666666669</v>
      </c>
      <c r="EX45" s="245">
        <v>7.333039999999999E-2</v>
      </c>
      <c r="EY45" s="245">
        <v>0.91662999999999983</v>
      </c>
      <c r="EZ45" s="367">
        <v>7.333039999999999E-2</v>
      </c>
      <c r="FA45" s="368">
        <v>0.91662999999999983</v>
      </c>
      <c r="FB45" s="369" t="s">
        <v>279</v>
      </c>
    </row>
    <row r="46" spans="2:158" ht="20.100000000000001" customHeight="1">
      <c r="B46" s="1734"/>
      <c r="C46" s="1738"/>
      <c r="D46" s="179" t="s">
        <v>137</v>
      </c>
      <c r="E46" s="180" t="s">
        <v>171</v>
      </c>
      <c r="F46" s="275">
        <v>12000</v>
      </c>
      <c r="G46" s="256">
        <v>20</v>
      </c>
      <c r="H46" s="1229"/>
      <c r="I46" s="449">
        <v>500</v>
      </c>
      <c r="J46" s="313">
        <v>39.96</v>
      </c>
      <c r="K46" s="293">
        <v>0.33300000000000002</v>
      </c>
      <c r="L46" s="1229"/>
      <c r="M46" s="272">
        <v>750</v>
      </c>
      <c r="N46" s="850">
        <v>1210.04</v>
      </c>
      <c r="O46" s="1234"/>
      <c r="P46" s="465">
        <v>0.24</v>
      </c>
      <c r="Q46" s="859">
        <v>2.9040959999999996</v>
      </c>
      <c r="R46" s="412">
        <v>4.8401599999999996E-3</v>
      </c>
      <c r="S46" s="938"/>
      <c r="T46" s="465">
        <v>0</v>
      </c>
      <c r="U46" s="245">
        <v>0</v>
      </c>
      <c r="V46" s="412">
        <v>0</v>
      </c>
      <c r="W46" s="938"/>
      <c r="X46" s="465">
        <v>0</v>
      </c>
      <c r="Y46" s="245">
        <v>0</v>
      </c>
      <c r="Z46" s="412">
        <v>0</v>
      </c>
      <c r="AA46" s="938"/>
      <c r="AB46" s="465">
        <v>0.08</v>
      </c>
      <c r="AC46" s="245">
        <v>0.968032</v>
      </c>
      <c r="AD46" s="245">
        <v>1.6133866666666668E-3</v>
      </c>
      <c r="AE46" s="938"/>
      <c r="AF46" s="853">
        <v>0</v>
      </c>
      <c r="AG46" s="1169">
        <v>1210</v>
      </c>
      <c r="AH46" s="1169">
        <v>0</v>
      </c>
      <c r="AI46" s="245">
        <v>0</v>
      </c>
      <c r="AJ46" s="245">
        <v>0.968032</v>
      </c>
      <c r="AK46" s="245">
        <v>1.6133866666666668E-3</v>
      </c>
      <c r="AL46" s="412" t="s">
        <v>279</v>
      </c>
      <c r="AM46" s="938"/>
      <c r="AN46" s="853">
        <v>0.24793388429752067</v>
      </c>
      <c r="AO46" s="1169">
        <v>1210</v>
      </c>
      <c r="AP46" s="1169">
        <v>3</v>
      </c>
      <c r="AQ46" s="245">
        <v>5.0000000000000001E-3</v>
      </c>
      <c r="AR46" s="245">
        <v>3.968032</v>
      </c>
      <c r="AS46" s="245">
        <v>6.6133866666666669E-3</v>
      </c>
      <c r="AT46" s="412" t="s">
        <v>279</v>
      </c>
      <c r="AU46" s="938"/>
      <c r="AV46" s="853">
        <v>0</v>
      </c>
      <c r="AW46" s="1161">
        <v>1210</v>
      </c>
      <c r="AX46" s="1161">
        <v>0</v>
      </c>
      <c r="AY46" s="245">
        <v>0</v>
      </c>
      <c r="AZ46" s="245">
        <v>3.968032</v>
      </c>
      <c r="BA46" s="245">
        <v>6.6133866666666669E-3</v>
      </c>
      <c r="BB46" s="412" t="s">
        <v>279</v>
      </c>
      <c r="BC46" s="938"/>
      <c r="BD46" s="853">
        <v>8.2644628099173556E-2</v>
      </c>
      <c r="BE46" s="245">
        <v>3630</v>
      </c>
      <c r="BF46" s="245">
        <v>3</v>
      </c>
      <c r="BG46" s="245">
        <v>5.0000000000000001E-3</v>
      </c>
      <c r="BH46" s="245">
        <v>3.968032</v>
      </c>
      <c r="BI46" s="245">
        <v>6.6133866666666669E-3</v>
      </c>
      <c r="BJ46" s="412" t="s">
        <v>279</v>
      </c>
      <c r="BK46" s="938"/>
      <c r="BL46" s="853">
        <v>0</v>
      </c>
      <c r="BM46" s="245"/>
      <c r="BN46" s="245">
        <v>3.968032</v>
      </c>
      <c r="BO46" s="245">
        <v>6.6133866666666669E-3</v>
      </c>
      <c r="BP46" s="245">
        <v>3.968032</v>
      </c>
      <c r="BQ46" s="245">
        <v>6.6133866666666669E-3</v>
      </c>
      <c r="BR46" s="412" t="s">
        <v>279</v>
      </c>
      <c r="BS46" s="938"/>
      <c r="BT46" s="853">
        <v>0</v>
      </c>
      <c r="BU46" s="1161">
        <v>1210</v>
      </c>
      <c r="BV46" s="1161">
        <v>0</v>
      </c>
      <c r="BW46" s="245">
        <v>0</v>
      </c>
      <c r="BX46" s="245">
        <v>3.968032</v>
      </c>
      <c r="BY46" s="245">
        <v>6.6133866666666669E-3</v>
      </c>
      <c r="BZ46" s="412" t="s">
        <v>279</v>
      </c>
      <c r="CA46" s="938"/>
      <c r="CB46" s="853">
        <v>0</v>
      </c>
      <c r="CC46" s="1169">
        <v>134.44888888888889</v>
      </c>
      <c r="CD46" s="1161">
        <v>0</v>
      </c>
      <c r="CE46" s="245">
        <v>0</v>
      </c>
      <c r="CF46" s="245">
        <v>3.968032</v>
      </c>
      <c r="CG46" s="245">
        <v>6.6133866666666669E-3</v>
      </c>
      <c r="CH46" s="412" t="s">
        <v>279</v>
      </c>
      <c r="CI46" s="938"/>
      <c r="CJ46" s="853">
        <v>0</v>
      </c>
      <c r="CK46" s="1161">
        <v>134.44888888888889</v>
      </c>
      <c r="CL46" s="1161">
        <v>0</v>
      </c>
      <c r="CM46" s="245">
        <v>0</v>
      </c>
      <c r="CN46" s="245">
        <v>3.968032</v>
      </c>
      <c r="CO46" s="245">
        <v>6.6133866666666669E-3</v>
      </c>
      <c r="CP46" s="412" t="s">
        <v>279</v>
      </c>
      <c r="CQ46" s="938"/>
      <c r="CR46" s="853">
        <v>0</v>
      </c>
      <c r="CS46" s="245">
        <v>1478.8977777777777</v>
      </c>
      <c r="CT46" s="245">
        <v>0</v>
      </c>
      <c r="CU46" s="245">
        <v>0</v>
      </c>
      <c r="CV46" s="245">
        <v>3.968032</v>
      </c>
      <c r="CW46" s="245">
        <v>6.6133866666666669E-3</v>
      </c>
      <c r="CX46" s="412" t="s">
        <v>279</v>
      </c>
      <c r="CY46" s="938"/>
      <c r="CZ46" s="853">
        <v>0.26831009280184642</v>
      </c>
      <c r="DA46" s="245">
        <v>1478.8977777777777</v>
      </c>
      <c r="DB46" s="245">
        <v>3.968032</v>
      </c>
      <c r="DC46" s="245">
        <v>6.6133866666666669E-3</v>
      </c>
      <c r="DD46" s="245">
        <v>3.968032</v>
      </c>
      <c r="DE46" s="245">
        <v>6.6133866666666669E-3</v>
      </c>
      <c r="DF46" s="412" t="s">
        <v>279</v>
      </c>
      <c r="DG46" s="938"/>
      <c r="DH46" s="853">
        <v>0</v>
      </c>
      <c r="DI46" s="1161">
        <v>134.44888888888889</v>
      </c>
      <c r="DJ46" s="1161">
        <v>0</v>
      </c>
      <c r="DK46" s="245">
        <v>0</v>
      </c>
      <c r="DL46" s="245">
        <v>3.968032</v>
      </c>
      <c r="DM46" s="245">
        <v>6.6133866666666669E-3</v>
      </c>
      <c r="DN46" s="412" t="s">
        <v>279</v>
      </c>
      <c r="DO46" s="938"/>
      <c r="DP46" s="853">
        <v>0</v>
      </c>
      <c r="DQ46" s="1161">
        <v>134.44888888888889</v>
      </c>
      <c r="DR46" s="1161"/>
      <c r="DS46" s="245">
        <v>0</v>
      </c>
      <c r="DT46" s="245">
        <v>3.968032</v>
      </c>
      <c r="DU46" s="245">
        <v>6.6133866666666669E-3</v>
      </c>
      <c r="DV46" s="412" t="s">
        <v>279</v>
      </c>
      <c r="DW46" s="938"/>
      <c r="DX46" s="853">
        <v>0</v>
      </c>
      <c r="DY46" s="1161">
        <v>134.44888888888889</v>
      </c>
      <c r="DZ46" s="1161"/>
      <c r="EA46" s="245">
        <v>0</v>
      </c>
      <c r="EB46" s="245">
        <v>3.968032</v>
      </c>
      <c r="EC46" s="1233">
        <v>6.6133866666666669E-3</v>
      </c>
      <c r="ED46" s="1171" t="s">
        <v>279</v>
      </c>
      <c r="EE46" s="1230"/>
      <c r="EF46" s="853">
        <v>0</v>
      </c>
      <c r="EG46" s="245">
        <v>403.34666666666669</v>
      </c>
      <c r="EH46" s="245">
        <v>0</v>
      </c>
      <c r="EI46" s="245">
        <v>0</v>
      </c>
      <c r="EJ46" s="245">
        <v>3.968032</v>
      </c>
      <c r="EK46" s="1233">
        <v>6.6133866666666669E-3</v>
      </c>
      <c r="EL46" s="1171" t="s">
        <v>279</v>
      </c>
      <c r="EM46" s="1230"/>
      <c r="EN46" s="853">
        <v>0</v>
      </c>
      <c r="EO46" s="245">
        <v>1882.2444444444445</v>
      </c>
      <c r="EP46" s="245">
        <v>0</v>
      </c>
      <c r="EQ46" s="245">
        <v>0</v>
      </c>
      <c r="ER46" s="245">
        <v>3.968032</v>
      </c>
      <c r="ES46" s="1233">
        <v>6.6133866666666669E-3</v>
      </c>
      <c r="ET46" s="1171" t="s">
        <v>279</v>
      </c>
      <c r="EU46" s="1230"/>
      <c r="EV46" s="853">
        <v>0.2108138510761384</v>
      </c>
      <c r="EW46" s="245">
        <v>1882.2444444444445</v>
      </c>
      <c r="EX46" s="245">
        <v>3.968032</v>
      </c>
      <c r="EY46" s="245">
        <v>6.6133866666666669E-3</v>
      </c>
      <c r="EZ46" s="367">
        <v>3.968032</v>
      </c>
      <c r="FA46" s="368">
        <v>6.6133866666666669E-3</v>
      </c>
      <c r="FB46" s="369" t="s">
        <v>279</v>
      </c>
    </row>
    <row r="47" spans="2:158" ht="20.100000000000001" customHeight="1" thickBot="1">
      <c r="B47" s="1749"/>
      <c r="C47" s="1751"/>
      <c r="D47" s="431" t="s">
        <v>14</v>
      </c>
      <c r="E47" s="184"/>
      <c r="F47" s="263"/>
      <c r="G47" s="264">
        <v>100</v>
      </c>
      <c r="H47" s="1229"/>
      <c r="I47" s="311"/>
      <c r="J47" s="312"/>
      <c r="K47" s="299">
        <v>7.4189999999999996</v>
      </c>
      <c r="L47" s="1229"/>
      <c r="M47" s="475"/>
      <c r="N47" s="476">
        <v>0</v>
      </c>
      <c r="O47" s="1230"/>
      <c r="P47" s="466"/>
      <c r="Q47" s="860"/>
      <c r="R47" s="854">
        <v>4.8401599999999996E-3</v>
      </c>
      <c r="S47" s="938"/>
      <c r="T47" s="466"/>
      <c r="U47" s="490" t="s">
        <v>4</v>
      </c>
      <c r="V47" s="854">
        <v>1.6982794999999999</v>
      </c>
      <c r="W47" s="938"/>
      <c r="X47" s="466"/>
      <c r="Y47" s="490" t="s">
        <v>4</v>
      </c>
      <c r="Z47" s="854">
        <v>1.9482695000000001</v>
      </c>
      <c r="AA47" s="938"/>
      <c r="AB47" s="466"/>
      <c r="AC47" s="490" t="s">
        <v>4</v>
      </c>
      <c r="AD47" s="855">
        <v>3.6513891599999999</v>
      </c>
      <c r="AE47" s="938"/>
      <c r="AF47" s="970"/>
      <c r="AG47" s="673"/>
      <c r="AH47" s="490" t="s">
        <v>4</v>
      </c>
      <c r="AI47" s="854">
        <v>0</v>
      </c>
      <c r="AJ47" s="974"/>
      <c r="AK47" s="490">
        <v>1.21712972</v>
      </c>
      <c r="AL47" s="467"/>
      <c r="AM47" s="938"/>
      <c r="AN47" s="970"/>
      <c r="AO47" s="673"/>
      <c r="AP47" s="490" t="s">
        <v>4</v>
      </c>
      <c r="AQ47" s="854">
        <v>5.0000000000000001E-3</v>
      </c>
      <c r="AR47" s="974"/>
      <c r="AS47" s="490">
        <v>1.2221297199999999</v>
      </c>
      <c r="AT47" s="467"/>
      <c r="AU47" s="938"/>
      <c r="AV47" s="970"/>
      <c r="AW47" s="673"/>
      <c r="AX47" s="490" t="s">
        <v>4</v>
      </c>
      <c r="AY47" s="854">
        <v>1.6666666666666666E-2</v>
      </c>
      <c r="AZ47" s="974"/>
      <c r="BA47" s="490">
        <v>1.2387963866666665</v>
      </c>
      <c r="BB47" s="467"/>
      <c r="BC47" s="938"/>
      <c r="BD47" s="970"/>
      <c r="BE47" s="673"/>
      <c r="BF47" s="490" t="s">
        <v>4</v>
      </c>
      <c r="BG47" s="854">
        <v>2.1666666666666667E-2</v>
      </c>
      <c r="BH47" s="974"/>
      <c r="BI47" s="490">
        <v>1.2387963866666665</v>
      </c>
      <c r="BJ47" s="467"/>
      <c r="BK47" s="938"/>
      <c r="BL47" s="970"/>
      <c r="BM47" s="673"/>
      <c r="BN47" s="490" t="s">
        <v>4</v>
      </c>
      <c r="BO47" s="854">
        <v>3.6730558266666664</v>
      </c>
      <c r="BP47" s="974"/>
      <c r="BQ47" s="490">
        <v>1.2387963866666665</v>
      </c>
      <c r="BR47" s="467"/>
      <c r="BS47" s="938"/>
      <c r="BT47" s="970"/>
      <c r="BU47" s="673"/>
      <c r="BV47" s="490" t="s">
        <v>4</v>
      </c>
      <c r="BW47" s="490">
        <v>4.1666666666666666E-3</v>
      </c>
      <c r="BX47" s="974"/>
      <c r="BY47" s="490">
        <v>1.2429630533333331</v>
      </c>
      <c r="BZ47" s="467"/>
      <c r="CA47" s="938"/>
      <c r="CB47" s="970"/>
      <c r="CC47" s="673"/>
      <c r="CD47" s="490" t="s">
        <v>4</v>
      </c>
      <c r="CE47" s="490">
        <v>4.5833333333333337E-2</v>
      </c>
      <c r="CF47" s="974"/>
      <c r="CG47" s="490">
        <v>1.2887963866666665</v>
      </c>
      <c r="CH47" s="467"/>
      <c r="CI47" s="938"/>
      <c r="CJ47" s="970"/>
      <c r="CK47" s="673"/>
      <c r="CL47" s="490" t="s">
        <v>4</v>
      </c>
      <c r="CM47" s="854">
        <v>0.13333333333333333</v>
      </c>
      <c r="CN47" s="974"/>
      <c r="CO47" s="490">
        <v>1.4221297199999998</v>
      </c>
      <c r="CP47" s="467"/>
      <c r="CQ47" s="938"/>
      <c r="CR47" s="970"/>
      <c r="CS47" s="673"/>
      <c r="CT47" s="490" t="s">
        <v>4</v>
      </c>
      <c r="CU47" s="854">
        <v>0.18333333333333335</v>
      </c>
      <c r="CV47" s="974"/>
      <c r="CW47" s="490">
        <v>1.4221297199999998</v>
      </c>
      <c r="CX47" s="467"/>
      <c r="CY47" s="938"/>
      <c r="CZ47" s="970"/>
      <c r="DA47" s="673"/>
      <c r="DB47" s="490" t="s">
        <v>4</v>
      </c>
      <c r="DC47" s="854">
        <v>3.85638916</v>
      </c>
      <c r="DD47" s="974"/>
      <c r="DE47" s="490">
        <v>1.4221297199999998</v>
      </c>
      <c r="DF47" s="467"/>
      <c r="DG47" s="938"/>
      <c r="DH47" s="970"/>
      <c r="DI47" s="673"/>
      <c r="DJ47" s="490" t="s">
        <v>4</v>
      </c>
      <c r="DK47" s="854">
        <v>0.14000000000000001</v>
      </c>
      <c r="DL47" s="974"/>
      <c r="DM47" s="490">
        <v>1.5621297199999999</v>
      </c>
      <c r="DN47" s="467"/>
      <c r="DO47" s="938"/>
      <c r="DP47" s="970"/>
      <c r="DQ47" s="673"/>
      <c r="DR47" s="490" t="s">
        <v>4</v>
      </c>
      <c r="DS47" s="854">
        <v>0</v>
      </c>
      <c r="DT47" s="974"/>
      <c r="DU47" s="490">
        <v>1.5621297199999999</v>
      </c>
      <c r="DV47" s="467"/>
      <c r="DW47" s="938"/>
      <c r="DX47" s="970"/>
      <c r="DY47" s="673"/>
      <c r="DZ47" s="490" t="s">
        <v>4</v>
      </c>
      <c r="EA47" s="854">
        <v>0</v>
      </c>
      <c r="EB47" s="1235"/>
      <c r="EC47" s="260">
        <v>1.5621297199999999</v>
      </c>
      <c r="ED47" s="471"/>
      <c r="EE47" s="1230"/>
      <c r="EF47" s="970"/>
      <c r="EG47" s="673"/>
      <c r="EH47" s="490" t="s">
        <v>4</v>
      </c>
      <c r="EI47" s="259">
        <v>0.14000000000000001</v>
      </c>
      <c r="EJ47" s="1235"/>
      <c r="EK47" s="260">
        <v>1.5621297199999999</v>
      </c>
      <c r="EL47" s="471"/>
      <c r="EM47" s="1230"/>
      <c r="EN47" s="970"/>
      <c r="EO47" s="673"/>
      <c r="EP47" s="490" t="s">
        <v>4</v>
      </c>
      <c r="EQ47" s="259">
        <v>0.32333333333333336</v>
      </c>
      <c r="ER47" s="1235"/>
      <c r="ES47" s="260">
        <v>1.5621297199999999</v>
      </c>
      <c r="ET47" s="471"/>
      <c r="EU47" s="1230"/>
      <c r="EV47" s="970"/>
      <c r="EW47" s="673"/>
      <c r="EX47" s="265" t="s">
        <v>4</v>
      </c>
      <c r="EY47" s="259">
        <v>3.9963891599999997</v>
      </c>
      <c r="EZ47" s="373"/>
      <c r="FA47" s="370">
        <v>1.5621297199999999</v>
      </c>
      <c r="FB47" s="371"/>
    </row>
    <row r="48" spans="2:158" ht="20.100000000000001" customHeight="1" thickTop="1">
      <c r="B48" s="1732" t="s">
        <v>42</v>
      </c>
      <c r="C48" s="1736" t="s">
        <v>130</v>
      </c>
      <c r="D48" s="185" t="s">
        <v>129</v>
      </c>
      <c r="E48" s="432" t="s">
        <v>173</v>
      </c>
      <c r="F48" s="433">
        <v>6000</v>
      </c>
      <c r="G48" s="267">
        <v>10</v>
      </c>
      <c r="H48" s="1229"/>
      <c r="I48" s="448">
        <v>250</v>
      </c>
      <c r="J48" s="450">
        <v>22.5</v>
      </c>
      <c r="K48" s="288">
        <v>0.375</v>
      </c>
      <c r="L48" s="1229"/>
      <c r="M48" s="477">
        <v>375</v>
      </c>
      <c r="N48" s="851">
        <v>602.5</v>
      </c>
      <c r="O48" s="1230"/>
      <c r="P48" s="465">
        <v>0</v>
      </c>
      <c r="Q48" s="859">
        <v>0</v>
      </c>
      <c r="R48" s="412">
        <v>0</v>
      </c>
      <c r="S48" s="938"/>
      <c r="T48" s="852">
        <v>7.5</v>
      </c>
      <c r="U48" s="243">
        <v>45.1875</v>
      </c>
      <c r="V48" s="412">
        <v>7.5312500000000004E-2</v>
      </c>
      <c r="W48" s="938"/>
      <c r="X48" s="852">
        <v>1.5</v>
      </c>
      <c r="Y48" s="245">
        <v>9.0374999999999996</v>
      </c>
      <c r="Z48" s="412">
        <v>1.50625E-2</v>
      </c>
      <c r="AA48" s="938"/>
      <c r="AB48" s="465">
        <v>3</v>
      </c>
      <c r="AC48" s="245">
        <v>18.074999999999999</v>
      </c>
      <c r="AD48" s="245">
        <v>3.0125000000000002E-2</v>
      </c>
      <c r="AE48" s="938"/>
      <c r="AF48" s="853">
        <v>0</v>
      </c>
      <c r="AG48" s="1169">
        <v>375</v>
      </c>
      <c r="AH48" s="1169">
        <v>0</v>
      </c>
      <c r="AI48" s="245">
        <v>0</v>
      </c>
      <c r="AJ48" s="245">
        <v>18.074999999999999</v>
      </c>
      <c r="AK48" s="245">
        <v>3.0125000000000002E-2</v>
      </c>
      <c r="AL48" s="411" t="s">
        <v>279</v>
      </c>
      <c r="AM48" s="938"/>
      <c r="AN48" s="853">
        <v>0</v>
      </c>
      <c r="AO48" s="1169">
        <v>375</v>
      </c>
      <c r="AP48" s="1169">
        <v>0</v>
      </c>
      <c r="AQ48" s="245">
        <v>0</v>
      </c>
      <c r="AR48" s="245">
        <v>18.074999999999999</v>
      </c>
      <c r="AS48" s="245">
        <v>3.0125000000000002E-2</v>
      </c>
      <c r="AT48" s="411" t="s">
        <v>279</v>
      </c>
      <c r="AU48" s="938"/>
      <c r="AV48" s="853">
        <v>2.666666666666667</v>
      </c>
      <c r="AW48" s="1161">
        <v>375</v>
      </c>
      <c r="AX48" s="1161">
        <v>10</v>
      </c>
      <c r="AY48" s="245">
        <v>1.6666666666666666E-2</v>
      </c>
      <c r="AZ48" s="245">
        <v>28.074999999999999</v>
      </c>
      <c r="BA48" s="245">
        <v>4.6791666666666669E-2</v>
      </c>
      <c r="BB48" s="411" t="s">
        <v>279</v>
      </c>
      <c r="BC48" s="938"/>
      <c r="BD48" s="853">
        <v>0.88888888888888884</v>
      </c>
      <c r="BE48" s="245">
        <v>1125</v>
      </c>
      <c r="BF48" s="245">
        <v>10</v>
      </c>
      <c r="BG48" s="245">
        <v>1.6666666666666666E-2</v>
      </c>
      <c r="BH48" s="245">
        <v>28.074999999999999</v>
      </c>
      <c r="BI48" s="245">
        <v>4.6791666666666669E-2</v>
      </c>
      <c r="BJ48" s="411" t="s">
        <v>279</v>
      </c>
      <c r="BK48" s="938"/>
      <c r="BL48" s="853">
        <v>0</v>
      </c>
      <c r="BM48" s="245"/>
      <c r="BN48" s="245">
        <v>28.074999999999999</v>
      </c>
      <c r="BO48" s="245">
        <v>4.6791666666666669E-2</v>
      </c>
      <c r="BP48" s="245">
        <v>28.074999999999999</v>
      </c>
      <c r="BQ48" s="245">
        <v>4.6791666666666669E-2</v>
      </c>
      <c r="BR48" s="411" t="s">
        <v>279</v>
      </c>
      <c r="BS48" s="938"/>
      <c r="BT48" s="853">
        <v>1.0666666666666667</v>
      </c>
      <c r="BU48" s="1161">
        <v>375</v>
      </c>
      <c r="BV48" s="1161">
        <v>4</v>
      </c>
      <c r="BW48" s="245">
        <v>6.6666666666666671E-3</v>
      </c>
      <c r="BX48" s="245">
        <v>32.075000000000003</v>
      </c>
      <c r="BY48" s="245">
        <v>5.3458333333333344E-2</v>
      </c>
      <c r="BZ48" s="411" t="s">
        <v>279</v>
      </c>
      <c r="CA48" s="938"/>
      <c r="CB48" s="853">
        <v>59.751037344398341</v>
      </c>
      <c r="CC48" s="1169">
        <v>66.944444444444443</v>
      </c>
      <c r="CD48" s="1161">
        <v>40</v>
      </c>
      <c r="CE48" s="245">
        <v>6.6666666666666666E-2</v>
      </c>
      <c r="CF48" s="245">
        <v>72.075000000000003</v>
      </c>
      <c r="CG48" s="245">
        <v>0.12012500000000001</v>
      </c>
      <c r="CH48" s="411" t="s">
        <v>279</v>
      </c>
      <c r="CI48" s="938"/>
      <c r="CJ48" s="853">
        <v>179.25311203319504</v>
      </c>
      <c r="CK48" s="1161">
        <v>66.944444444444443</v>
      </c>
      <c r="CL48" s="1161">
        <v>120</v>
      </c>
      <c r="CM48" s="245">
        <v>0.2</v>
      </c>
      <c r="CN48" s="245">
        <v>192.07499999999999</v>
      </c>
      <c r="CO48" s="245">
        <v>0.32012499999999999</v>
      </c>
      <c r="CP48" s="411" t="s">
        <v>279</v>
      </c>
      <c r="CQ48" s="938"/>
      <c r="CR48" s="853">
        <v>32.227074235807855</v>
      </c>
      <c r="CS48" s="245">
        <v>508.88888888888891</v>
      </c>
      <c r="CT48" s="245">
        <v>164</v>
      </c>
      <c r="CU48" s="245">
        <v>0.27333333333333337</v>
      </c>
      <c r="CV48" s="245">
        <v>192.07499999999999</v>
      </c>
      <c r="CW48" s="245">
        <v>0.32012499999999999</v>
      </c>
      <c r="CX48" s="411" t="s">
        <v>279</v>
      </c>
      <c r="CY48" s="938"/>
      <c r="CZ48" s="853">
        <v>37.743995633187772</v>
      </c>
      <c r="DA48" s="245">
        <v>508.88888888888891</v>
      </c>
      <c r="DB48" s="245">
        <v>192.07499999999999</v>
      </c>
      <c r="DC48" s="245">
        <v>0.32012499999999999</v>
      </c>
      <c r="DD48" s="245">
        <v>192.07499999999999</v>
      </c>
      <c r="DE48" s="245">
        <v>0.32012499999999999</v>
      </c>
      <c r="DF48" s="411" t="s">
        <v>279</v>
      </c>
      <c r="DG48" s="938"/>
      <c r="DH48" s="853">
        <v>188.21576763485476</v>
      </c>
      <c r="DI48" s="1161">
        <v>66.944444444444443</v>
      </c>
      <c r="DJ48" s="1161">
        <v>126</v>
      </c>
      <c r="DK48" s="245">
        <v>0.21000000000000002</v>
      </c>
      <c r="DL48" s="245">
        <v>318.07499999999999</v>
      </c>
      <c r="DM48" s="245">
        <v>0.53012500000000007</v>
      </c>
      <c r="DN48" s="411" t="s">
        <v>279</v>
      </c>
      <c r="DO48" s="938"/>
      <c r="DP48" s="853">
        <v>0</v>
      </c>
      <c r="DQ48" s="1161">
        <v>66.944444444444443</v>
      </c>
      <c r="DR48" s="1161"/>
      <c r="DS48" s="245">
        <v>0</v>
      </c>
      <c r="DT48" s="245">
        <v>318.07499999999999</v>
      </c>
      <c r="DU48" s="245">
        <v>0.53012500000000007</v>
      </c>
      <c r="DV48" s="411" t="s">
        <v>279</v>
      </c>
      <c r="DW48" s="938"/>
      <c r="DX48" s="853">
        <v>0</v>
      </c>
      <c r="DY48" s="1161">
        <v>66.944444444444443</v>
      </c>
      <c r="DZ48" s="1161"/>
      <c r="EA48" s="245">
        <v>0</v>
      </c>
      <c r="EB48" s="245">
        <v>318.07499999999999</v>
      </c>
      <c r="EC48" s="1233">
        <v>0.53012500000000007</v>
      </c>
      <c r="ED48" s="1168" t="s">
        <v>279</v>
      </c>
      <c r="EE48" s="1230"/>
      <c r="EF48" s="853">
        <v>62.738589211618269</v>
      </c>
      <c r="EG48" s="245">
        <v>200.83333333333331</v>
      </c>
      <c r="EH48" s="245">
        <v>126</v>
      </c>
      <c r="EI48" s="245">
        <v>0.21000000000000002</v>
      </c>
      <c r="EJ48" s="245">
        <v>318.07499999999999</v>
      </c>
      <c r="EK48" s="1233">
        <v>0.53012500000000007</v>
      </c>
      <c r="EL48" s="1168" t="s">
        <v>279</v>
      </c>
      <c r="EM48" s="1230"/>
      <c r="EN48" s="853">
        <v>40.861056751467714</v>
      </c>
      <c r="EO48" s="245">
        <v>709.72222222222217</v>
      </c>
      <c r="EP48" s="245">
        <v>290</v>
      </c>
      <c r="EQ48" s="245">
        <v>0.48333333333333334</v>
      </c>
      <c r="ER48" s="245">
        <v>318.07499999999999</v>
      </c>
      <c r="ES48" s="1233">
        <v>0.53012500000000007</v>
      </c>
      <c r="ET48" s="1168" t="s">
        <v>279</v>
      </c>
      <c r="EU48" s="1230"/>
      <c r="EV48" s="853">
        <v>44.81682974559687</v>
      </c>
      <c r="EW48" s="245">
        <v>709.72222222222217</v>
      </c>
      <c r="EX48" s="245">
        <v>318.07499999999999</v>
      </c>
      <c r="EY48" s="245">
        <v>0.53012500000000007</v>
      </c>
      <c r="EZ48" s="367">
        <v>318.07499999999999</v>
      </c>
      <c r="FA48" s="368">
        <v>0.53012500000000007</v>
      </c>
      <c r="FB48" s="372" t="s">
        <v>279</v>
      </c>
    </row>
    <row r="49" spans="1:158" ht="20.100000000000001" customHeight="1">
      <c r="B49" s="1733"/>
      <c r="C49" s="1737"/>
      <c r="D49" s="178" t="s">
        <v>10</v>
      </c>
      <c r="E49" s="434" t="s">
        <v>172</v>
      </c>
      <c r="F49" s="250">
        <v>4</v>
      </c>
      <c r="G49" s="251">
        <v>20</v>
      </c>
      <c r="H49" s="1229"/>
      <c r="I49" s="449">
        <v>1</v>
      </c>
      <c r="J49" s="313">
        <v>0.26667999999999997</v>
      </c>
      <c r="K49" s="293">
        <v>6.6669999999999998</v>
      </c>
      <c r="L49" s="1229"/>
      <c r="M49" s="272">
        <v>1</v>
      </c>
      <c r="N49" s="412">
        <v>1.73332</v>
      </c>
      <c r="O49" s="1234"/>
      <c r="P49" s="465">
        <v>0</v>
      </c>
      <c r="Q49" s="859">
        <v>0</v>
      </c>
      <c r="R49" s="412">
        <v>0</v>
      </c>
      <c r="S49" s="938"/>
      <c r="T49" s="465">
        <v>5</v>
      </c>
      <c r="U49" s="245">
        <v>8.6665999999999993E-2</v>
      </c>
      <c r="V49" s="412">
        <v>0.43332999999999999</v>
      </c>
      <c r="W49" s="938"/>
      <c r="X49" s="465">
        <v>5</v>
      </c>
      <c r="Y49" s="245">
        <v>8.6665999999999993E-2</v>
      </c>
      <c r="Z49" s="412">
        <v>0.43332999999999999</v>
      </c>
      <c r="AA49" s="938"/>
      <c r="AB49" s="465">
        <v>3.3333333333333335</v>
      </c>
      <c r="AC49" s="245">
        <v>5.777733333333334E-2</v>
      </c>
      <c r="AD49" s="245">
        <v>0.28888666666666668</v>
      </c>
      <c r="AE49" s="938"/>
      <c r="AF49" s="853">
        <v>0</v>
      </c>
      <c r="AG49" s="1169">
        <v>1.8</v>
      </c>
      <c r="AH49" s="1169">
        <v>0</v>
      </c>
      <c r="AI49" s="245">
        <v>0</v>
      </c>
      <c r="AJ49" s="245">
        <v>5.777733333333334E-2</v>
      </c>
      <c r="AK49" s="245">
        <v>0.28888666666666668</v>
      </c>
      <c r="AL49" s="412" t="s">
        <v>279</v>
      </c>
      <c r="AM49" s="938"/>
      <c r="AN49" s="853">
        <v>0</v>
      </c>
      <c r="AO49" s="1169">
        <v>1.8</v>
      </c>
      <c r="AP49" s="1169">
        <v>0</v>
      </c>
      <c r="AQ49" s="245">
        <v>0</v>
      </c>
      <c r="AR49" s="245">
        <v>5.777733333333334E-2</v>
      </c>
      <c r="AS49" s="245">
        <v>0.28888666666666668</v>
      </c>
      <c r="AT49" s="412" t="s">
        <v>279</v>
      </c>
      <c r="AU49" s="938"/>
      <c r="AV49" s="853">
        <v>0</v>
      </c>
      <c r="AW49" s="1161">
        <v>1.8</v>
      </c>
      <c r="AX49" s="1161">
        <v>0</v>
      </c>
      <c r="AY49" s="245">
        <v>0</v>
      </c>
      <c r="AZ49" s="245">
        <v>5.777733333333334E-2</v>
      </c>
      <c r="BA49" s="245">
        <v>0.28888666666666668</v>
      </c>
      <c r="BB49" s="412" t="s">
        <v>279</v>
      </c>
      <c r="BC49" s="938"/>
      <c r="BD49" s="853">
        <v>0</v>
      </c>
      <c r="BE49" s="245">
        <v>5.4</v>
      </c>
      <c r="BF49" s="245">
        <v>0</v>
      </c>
      <c r="BG49" s="245">
        <v>0</v>
      </c>
      <c r="BH49" s="245">
        <v>5.777733333333334E-2</v>
      </c>
      <c r="BI49" s="245">
        <v>0.28888666666666668</v>
      </c>
      <c r="BJ49" s="412" t="s">
        <v>279</v>
      </c>
      <c r="BK49" s="938"/>
      <c r="BL49" s="853">
        <v>0</v>
      </c>
      <c r="BM49" s="245"/>
      <c r="BN49" s="245">
        <v>5.777733333333334E-2</v>
      </c>
      <c r="BO49" s="245">
        <v>0.28888666666666668</v>
      </c>
      <c r="BP49" s="245">
        <v>5.777733333333334E-2</v>
      </c>
      <c r="BQ49" s="245">
        <v>0.28888666666666668</v>
      </c>
      <c r="BR49" s="412" t="s">
        <v>279</v>
      </c>
      <c r="BS49" s="938"/>
      <c r="BT49" s="853">
        <v>0</v>
      </c>
      <c r="BU49" s="1161">
        <v>1.8</v>
      </c>
      <c r="BV49" s="1161">
        <v>0</v>
      </c>
      <c r="BW49" s="245">
        <v>0</v>
      </c>
      <c r="BX49" s="245">
        <v>5.777733333333334E-2</v>
      </c>
      <c r="BY49" s="245">
        <v>0.28888666666666668</v>
      </c>
      <c r="BZ49" s="412" t="s">
        <v>279</v>
      </c>
      <c r="CA49" s="938"/>
      <c r="CB49" s="853">
        <v>0</v>
      </c>
      <c r="CC49" s="1169">
        <v>0.1925911111111111</v>
      </c>
      <c r="CD49" s="1161">
        <v>0</v>
      </c>
      <c r="CE49" s="245">
        <v>0</v>
      </c>
      <c r="CF49" s="245">
        <v>5.777733333333334E-2</v>
      </c>
      <c r="CG49" s="245">
        <v>0.28888666666666668</v>
      </c>
      <c r="CH49" s="412" t="s">
        <v>279</v>
      </c>
      <c r="CI49" s="938"/>
      <c r="CJ49" s="853">
        <v>0</v>
      </c>
      <c r="CK49" s="1161">
        <v>0.1925911111111111</v>
      </c>
      <c r="CL49" s="1161">
        <v>0</v>
      </c>
      <c r="CM49" s="245">
        <v>0</v>
      </c>
      <c r="CN49" s="245">
        <v>5.777733333333334E-2</v>
      </c>
      <c r="CO49" s="245">
        <v>0.28888666666666668</v>
      </c>
      <c r="CP49" s="412" t="s">
        <v>279</v>
      </c>
      <c r="CQ49" s="938"/>
      <c r="CR49" s="853">
        <v>0</v>
      </c>
      <c r="CS49" s="245">
        <v>2.1851822222222221</v>
      </c>
      <c r="CT49" s="245">
        <v>0</v>
      </c>
      <c r="CU49" s="245">
        <v>0</v>
      </c>
      <c r="CV49" s="245">
        <v>5.777733333333334E-2</v>
      </c>
      <c r="CW49" s="245">
        <v>0.28888666666666668</v>
      </c>
      <c r="CX49" s="412" t="s">
        <v>279</v>
      </c>
      <c r="CY49" s="938"/>
      <c r="CZ49" s="853">
        <v>2.6440510427810753</v>
      </c>
      <c r="DA49" s="245">
        <v>2.1851822222222221</v>
      </c>
      <c r="DB49" s="245">
        <v>5.777733333333334E-2</v>
      </c>
      <c r="DC49" s="245">
        <v>0.28888666666666668</v>
      </c>
      <c r="DD49" s="245">
        <v>5.777733333333334E-2</v>
      </c>
      <c r="DE49" s="245">
        <v>0.28888666666666668</v>
      </c>
      <c r="DF49" s="412" t="s">
        <v>279</v>
      </c>
      <c r="DG49" s="938"/>
      <c r="DH49" s="853">
        <v>0</v>
      </c>
      <c r="DI49" s="1161">
        <v>0.1925911111111111</v>
      </c>
      <c r="DJ49" s="1161">
        <v>0</v>
      </c>
      <c r="DK49" s="245">
        <v>0</v>
      </c>
      <c r="DL49" s="245">
        <v>5.777733333333334E-2</v>
      </c>
      <c r="DM49" s="245">
        <v>0.28888666666666668</v>
      </c>
      <c r="DN49" s="412" t="s">
        <v>279</v>
      </c>
      <c r="DO49" s="938"/>
      <c r="DP49" s="853">
        <v>0</v>
      </c>
      <c r="DQ49" s="1161">
        <v>0.1925911111111111</v>
      </c>
      <c r="DR49" s="1161"/>
      <c r="DS49" s="245">
        <v>0</v>
      </c>
      <c r="DT49" s="245">
        <v>5.777733333333334E-2</v>
      </c>
      <c r="DU49" s="245">
        <v>0.28888666666666668</v>
      </c>
      <c r="DV49" s="412" t="s">
        <v>279</v>
      </c>
      <c r="DW49" s="938"/>
      <c r="DX49" s="853">
        <v>0</v>
      </c>
      <c r="DY49" s="1161">
        <v>0.1925911111111111</v>
      </c>
      <c r="DZ49" s="1161"/>
      <c r="EA49" s="245">
        <v>0</v>
      </c>
      <c r="EB49" s="245">
        <v>5.777733333333334E-2</v>
      </c>
      <c r="EC49" s="1233">
        <v>0.28888666666666668</v>
      </c>
      <c r="ED49" s="1171" t="s">
        <v>279</v>
      </c>
      <c r="EE49" s="1230"/>
      <c r="EF49" s="853">
        <v>0</v>
      </c>
      <c r="EG49" s="245">
        <v>0.57777333333333325</v>
      </c>
      <c r="EH49" s="245">
        <v>0</v>
      </c>
      <c r="EI49" s="245">
        <v>0</v>
      </c>
      <c r="EJ49" s="245">
        <v>5.777733333333334E-2</v>
      </c>
      <c r="EK49" s="1233">
        <v>0.28888666666666668</v>
      </c>
      <c r="EL49" s="1171" t="s">
        <v>279</v>
      </c>
      <c r="EM49" s="1230"/>
      <c r="EN49" s="853">
        <v>0</v>
      </c>
      <c r="EO49" s="245">
        <v>2.7629555555555552</v>
      </c>
      <c r="EP49" s="245">
        <v>0</v>
      </c>
      <c r="EQ49" s="245">
        <v>0</v>
      </c>
      <c r="ER49" s="245">
        <v>5.777733333333334E-2</v>
      </c>
      <c r="ES49" s="1233">
        <v>0.28888666666666668</v>
      </c>
      <c r="ET49" s="1171" t="s">
        <v>279</v>
      </c>
      <c r="EU49" s="1230"/>
      <c r="EV49" s="853">
        <v>2.0911423355022407</v>
      </c>
      <c r="EW49" s="245">
        <v>2.7629555555555552</v>
      </c>
      <c r="EX49" s="245">
        <v>5.777733333333334E-2</v>
      </c>
      <c r="EY49" s="245">
        <v>0.28888666666666668</v>
      </c>
      <c r="EZ49" s="367">
        <v>5.777733333333334E-2</v>
      </c>
      <c r="FA49" s="368">
        <v>0.28888666666666668</v>
      </c>
      <c r="FB49" s="369" t="s">
        <v>279</v>
      </c>
    </row>
    <row r="50" spans="1:158" ht="20.100000000000001" customHeight="1">
      <c r="A50" s="165" t="s">
        <v>4</v>
      </c>
      <c r="B50" s="1733"/>
      <c r="C50" s="1737"/>
      <c r="D50" s="178" t="s">
        <v>154</v>
      </c>
      <c r="E50" s="434" t="s">
        <v>172</v>
      </c>
      <c r="F50" s="250">
        <v>4</v>
      </c>
      <c r="G50" s="251">
        <v>50</v>
      </c>
      <c r="H50" s="1229"/>
      <c r="I50" s="449">
        <v>1</v>
      </c>
      <c r="J50" s="313">
        <v>2.8000000000000003E-4</v>
      </c>
      <c r="K50" s="293">
        <v>7.0000000000000001E-3</v>
      </c>
      <c r="L50" s="1229"/>
      <c r="M50" s="272">
        <v>1</v>
      </c>
      <c r="N50" s="412">
        <v>1.9997199999999999</v>
      </c>
      <c r="O50" s="1234"/>
      <c r="P50" s="465">
        <v>0</v>
      </c>
      <c r="Q50" s="859">
        <v>0</v>
      </c>
      <c r="R50" s="412">
        <v>0</v>
      </c>
      <c r="S50" s="938"/>
      <c r="T50" s="465">
        <v>7.5</v>
      </c>
      <c r="U50" s="245">
        <v>0.149979</v>
      </c>
      <c r="V50" s="412">
        <v>1.8747374999999999</v>
      </c>
      <c r="W50" s="938"/>
      <c r="X50" s="465">
        <v>8</v>
      </c>
      <c r="Y50" s="245">
        <v>0.1599776</v>
      </c>
      <c r="Z50" s="412">
        <v>1.9997199999999999</v>
      </c>
      <c r="AA50" s="938"/>
      <c r="AB50" s="465">
        <v>5.166666666666667</v>
      </c>
      <c r="AC50" s="245">
        <v>0.10331886666666668</v>
      </c>
      <c r="AD50" s="245">
        <v>1.2914858333333334</v>
      </c>
      <c r="AE50" s="938"/>
      <c r="AF50" s="853">
        <v>0</v>
      </c>
      <c r="AG50" s="1169">
        <v>2</v>
      </c>
      <c r="AH50" s="1169">
        <v>0</v>
      </c>
      <c r="AI50" s="245">
        <v>0</v>
      </c>
      <c r="AJ50" s="245">
        <v>0.10331886666666668</v>
      </c>
      <c r="AK50" s="245">
        <v>1.2914858333333334</v>
      </c>
      <c r="AL50" s="412" t="s">
        <v>279</v>
      </c>
      <c r="AM50" s="938"/>
      <c r="AN50" s="853">
        <v>0</v>
      </c>
      <c r="AO50" s="1169">
        <v>2</v>
      </c>
      <c r="AP50" s="1169">
        <v>0</v>
      </c>
      <c r="AQ50" s="245">
        <v>0</v>
      </c>
      <c r="AR50" s="245">
        <v>0.10331886666666668</v>
      </c>
      <c r="AS50" s="245">
        <v>1.2914858333333334</v>
      </c>
      <c r="AT50" s="412" t="s">
        <v>279</v>
      </c>
      <c r="AU50" s="938"/>
      <c r="AV50" s="853">
        <v>0</v>
      </c>
      <c r="AW50" s="1161">
        <v>2</v>
      </c>
      <c r="AX50" s="1161">
        <v>0</v>
      </c>
      <c r="AY50" s="245">
        <v>0</v>
      </c>
      <c r="AZ50" s="245">
        <v>0.10331886666666668</v>
      </c>
      <c r="BA50" s="245">
        <v>1.2914858333333334</v>
      </c>
      <c r="BB50" s="412" t="s">
        <v>279</v>
      </c>
      <c r="BC50" s="938"/>
      <c r="BD50" s="853">
        <v>0</v>
      </c>
      <c r="BE50" s="245">
        <v>6</v>
      </c>
      <c r="BF50" s="245">
        <v>0</v>
      </c>
      <c r="BG50" s="245">
        <v>0</v>
      </c>
      <c r="BH50" s="245">
        <v>0.10331886666666668</v>
      </c>
      <c r="BI50" s="245">
        <v>1.2914858333333334</v>
      </c>
      <c r="BJ50" s="412" t="s">
        <v>279</v>
      </c>
      <c r="BK50" s="938"/>
      <c r="BL50" s="853">
        <v>0</v>
      </c>
      <c r="BM50" s="245"/>
      <c r="BN50" s="245">
        <v>0.10331886666666668</v>
      </c>
      <c r="BO50" s="245">
        <v>1.2914858333333334</v>
      </c>
      <c r="BP50" s="245">
        <v>0.10331886666666668</v>
      </c>
      <c r="BQ50" s="245">
        <v>1.2914858333333334</v>
      </c>
      <c r="BR50" s="412" t="s">
        <v>279</v>
      </c>
      <c r="BS50" s="938"/>
      <c r="BT50" s="853">
        <v>0</v>
      </c>
      <c r="BU50" s="1161">
        <v>2</v>
      </c>
      <c r="BV50" s="1161">
        <v>0</v>
      </c>
      <c r="BW50" s="245">
        <v>0</v>
      </c>
      <c r="BX50" s="245">
        <v>0.10331886666666668</v>
      </c>
      <c r="BY50" s="245">
        <v>1.2914858333333334</v>
      </c>
      <c r="BZ50" s="412" t="s">
        <v>279</v>
      </c>
      <c r="CA50" s="938"/>
      <c r="CB50" s="853">
        <v>0</v>
      </c>
      <c r="CC50" s="1169">
        <v>0.22219111111111112</v>
      </c>
      <c r="CD50" s="1161">
        <v>0</v>
      </c>
      <c r="CE50" s="245">
        <v>0</v>
      </c>
      <c r="CF50" s="245">
        <v>0.10331886666666668</v>
      </c>
      <c r="CG50" s="245">
        <v>1.2914858333333334</v>
      </c>
      <c r="CH50" s="412" t="s">
        <v>279</v>
      </c>
      <c r="CI50" s="938"/>
      <c r="CJ50" s="853">
        <v>0</v>
      </c>
      <c r="CK50" s="1161">
        <v>0.22219111111111112</v>
      </c>
      <c r="CL50" s="1161">
        <v>0</v>
      </c>
      <c r="CM50" s="245">
        <v>0</v>
      </c>
      <c r="CN50" s="245">
        <v>0.10331886666666668</v>
      </c>
      <c r="CO50" s="245">
        <v>1.2914858333333334</v>
      </c>
      <c r="CP50" s="412" t="s">
        <v>279</v>
      </c>
      <c r="CQ50" s="938"/>
      <c r="CR50" s="853">
        <v>0</v>
      </c>
      <c r="CS50" s="245">
        <v>2.444382222222222</v>
      </c>
      <c r="CT50" s="245">
        <v>0</v>
      </c>
      <c r="CU50" s="245">
        <v>0</v>
      </c>
      <c r="CV50" s="245">
        <v>0.10331886666666668</v>
      </c>
      <c r="CW50" s="245">
        <v>1.2914858333333334</v>
      </c>
      <c r="CX50" s="412" t="s">
        <v>279</v>
      </c>
      <c r="CY50" s="938"/>
      <c r="CZ50" s="853">
        <v>4.2267885000709118</v>
      </c>
      <c r="DA50" s="245">
        <v>2.444382222222222</v>
      </c>
      <c r="DB50" s="245">
        <v>0.10331886666666668</v>
      </c>
      <c r="DC50" s="245">
        <v>1.2914858333333334</v>
      </c>
      <c r="DD50" s="245">
        <v>0.10331886666666668</v>
      </c>
      <c r="DE50" s="245">
        <v>1.2914858333333334</v>
      </c>
      <c r="DF50" s="412" t="s">
        <v>279</v>
      </c>
      <c r="DG50" s="938"/>
      <c r="DH50" s="853">
        <v>0</v>
      </c>
      <c r="DI50" s="1161">
        <v>0.22219111111111112</v>
      </c>
      <c r="DJ50" s="1161">
        <v>0</v>
      </c>
      <c r="DK50" s="245">
        <v>0</v>
      </c>
      <c r="DL50" s="245">
        <v>0.10331886666666668</v>
      </c>
      <c r="DM50" s="245">
        <v>1.2914858333333334</v>
      </c>
      <c r="DN50" s="412" t="s">
        <v>279</v>
      </c>
      <c r="DO50" s="938"/>
      <c r="DP50" s="853">
        <v>0</v>
      </c>
      <c r="DQ50" s="1161">
        <v>0.22219111111111112</v>
      </c>
      <c r="DR50" s="1161"/>
      <c r="DS50" s="245">
        <v>0</v>
      </c>
      <c r="DT50" s="245">
        <v>0.10331886666666668</v>
      </c>
      <c r="DU50" s="245">
        <v>1.2914858333333334</v>
      </c>
      <c r="DV50" s="412" t="s">
        <v>279</v>
      </c>
      <c r="DW50" s="938"/>
      <c r="DX50" s="853">
        <v>0</v>
      </c>
      <c r="DY50" s="1161">
        <v>0.22219111111111112</v>
      </c>
      <c r="DZ50" s="1161"/>
      <c r="EA50" s="245">
        <v>0</v>
      </c>
      <c r="EB50" s="245">
        <v>0.10331886666666668</v>
      </c>
      <c r="EC50" s="1233">
        <v>1.2914858333333334</v>
      </c>
      <c r="ED50" s="1171" t="s">
        <v>279</v>
      </c>
      <c r="EE50" s="1230"/>
      <c r="EF50" s="853">
        <v>0</v>
      </c>
      <c r="EG50" s="245">
        <v>0.66657333333333335</v>
      </c>
      <c r="EH50" s="245">
        <v>0</v>
      </c>
      <c r="EI50" s="245">
        <v>0</v>
      </c>
      <c r="EJ50" s="245">
        <v>0.10331886666666668</v>
      </c>
      <c r="EK50" s="1233">
        <v>1.2914858333333334</v>
      </c>
      <c r="EL50" s="1171" t="s">
        <v>279</v>
      </c>
      <c r="EM50" s="1230"/>
      <c r="EN50" s="853">
        <v>0</v>
      </c>
      <c r="EO50" s="245">
        <v>3.1109555555555555</v>
      </c>
      <c r="EP50" s="245">
        <v>0</v>
      </c>
      <c r="EQ50" s="245">
        <v>0</v>
      </c>
      <c r="ER50" s="245">
        <v>0.10331886666666668</v>
      </c>
      <c r="ES50" s="1233">
        <v>1.2914858333333334</v>
      </c>
      <c r="ET50" s="1171" t="s">
        <v>279</v>
      </c>
      <c r="EU50" s="1230"/>
      <c r="EV50" s="853">
        <v>3.3211296279099676</v>
      </c>
      <c r="EW50" s="245">
        <v>3.1109555555555555</v>
      </c>
      <c r="EX50" s="245">
        <v>0.10331886666666668</v>
      </c>
      <c r="EY50" s="245">
        <v>1.2914858333333334</v>
      </c>
      <c r="EZ50" s="367">
        <v>0.10331886666666668</v>
      </c>
      <c r="FA50" s="368">
        <v>1.2914858333333334</v>
      </c>
      <c r="FB50" s="369" t="s">
        <v>279</v>
      </c>
    </row>
    <row r="51" spans="1:158" ht="20.100000000000001" customHeight="1">
      <c r="B51" s="1734"/>
      <c r="C51" s="1738"/>
      <c r="D51" s="179" t="s">
        <v>138</v>
      </c>
      <c r="E51" s="435" t="s">
        <v>173</v>
      </c>
      <c r="F51" s="275">
        <v>6000</v>
      </c>
      <c r="G51" s="256">
        <v>20</v>
      </c>
      <c r="H51" s="1229"/>
      <c r="I51" s="449">
        <v>250</v>
      </c>
      <c r="J51" s="313">
        <v>0</v>
      </c>
      <c r="K51" s="293">
        <v>0</v>
      </c>
      <c r="L51" s="1229"/>
      <c r="M51" s="272">
        <v>625</v>
      </c>
      <c r="N51" s="274">
        <v>875</v>
      </c>
      <c r="O51" s="1234"/>
      <c r="P51" s="465">
        <v>0</v>
      </c>
      <c r="Q51" s="859">
        <v>0</v>
      </c>
      <c r="R51" s="412">
        <v>0</v>
      </c>
      <c r="S51" s="938"/>
      <c r="T51" s="465">
        <v>0</v>
      </c>
      <c r="U51" s="245">
        <v>0</v>
      </c>
      <c r="V51" s="412">
        <v>0</v>
      </c>
      <c r="W51" s="938"/>
      <c r="X51" s="465">
        <v>0</v>
      </c>
      <c r="Y51" s="245">
        <v>0</v>
      </c>
      <c r="Z51" s="412">
        <v>0</v>
      </c>
      <c r="AA51" s="938"/>
      <c r="AB51" s="465">
        <v>0</v>
      </c>
      <c r="AC51" s="245">
        <v>0</v>
      </c>
      <c r="AD51" s="245">
        <v>0</v>
      </c>
      <c r="AE51" s="938"/>
      <c r="AF51" s="853">
        <v>0</v>
      </c>
      <c r="AG51" s="1169">
        <v>625</v>
      </c>
      <c r="AH51" s="1169">
        <v>0</v>
      </c>
      <c r="AI51" s="245">
        <v>0</v>
      </c>
      <c r="AJ51" s="245">
        <v>0</v>
      </c>
      <c r="AK51" s="245">
        <v>0</v>
      </c>
      <c r="AL51" s="412" t="s">
        <v>279</v>
      </c>
      <c r="AM51" s="938"/>
      <c r="AN51" s="853">
        <v>0</v>
      </c>
      <c r="AO51" s="1169">
        <v>625</v>
      </c>
      <c r="AP51" s="1169">
        <v>0</v>
      </c>
      <c r="AQ51" s="245">
        <v>0</v>
      </c>
      <c r="AR51" s="245">
        <v>0</v>
      </c>
      <c r="AS51" s="245">
        <v>0</v>
      </c>
      <c r="AT51" s="412" t="s">
        <v>279</v>
      </c>
      <c r="AU51" s="938"/>
      <c r="AV51" s="853">
        <v>0</v>
      </c>
      <c r="AW51" s="1161">
        <v>625</v>
      </c>
      <c r="AX51" s="1161">
        <v>0</v>
      </c>
      <c r="AY51" s="245">
        <v>0</v>
      </c>
      <c r="AZ51" s="245">
        <v>0</v>
      </c>
      <c r="BA51" s="245">
        <v>0</v>
      </c>
      <c r="BB51" s="412" t="s">
        <v>279</v>
      </c>
      <c r="BC51" s="938"/>
      <c r="BD51" s="853">
        <v>0</v>
      </c>
      <c r="BE51" s="245">
        <v>1875</v>
      </c>
      <c r="BF51" s="245">
        <v>0</v>
      </c>
      <c r="BG51" s="245">
        <v>0</v>
      </c>
      <c r="BH51" s="245">
        <v>0</v>
      </c>
      <c r="BI51" s="245">
        <v>0</v>
      </c>
      <c r="BJ51" s="412" t="s">
        <v>279</v>
      </c>
      <c r="BK51" s="938"/>
      <c r="BL51" s="853">
        <v>0</v>
      </c>
      <c r="BM51" s="245"/>
      <c r="BN51" s="245">
        <v>0</v>
      </c>
      <c r="BO51" s="245">
        <v>0</v>
      </c>
      <c r="BP51" s="245">
        <v>0</v>
      </c>
      <c r="BQ51" s="245">
        <v>0</v>
      </c>
      <c r="BR51" s="412" t="s">
        <v>279</v>
      </c>
      <c r="BS51" s="938"/>
      <c r="BT51" s="853">
        <v>0</v>
      </c>
      <c r="BU51" s="1161">
        <v>625</v>
      </c>
      <c r="BV51" s="1161">
        <v>0</v>
      </c>
      <c r="BW51" s="245">
        <v>0</v>
      </c>
      <c r="BX51" s="245">
        <v>0</v>
      </c>
      <c r="BY51" s="245">
        <v>0</v>
      </c>
      <c r="BZ51" s="412" t="s">
        <v>279</v>
      </c>
      <c r="CA51" s="938"/>
      <c r="CB51" s="853">
        <v>0</v>
      </c>
      <c r="CC51" s="1169">
        <v>97.222222222222229</v>
      </c>
      <c r="CD51" s="1161">
        <v>0</v>
      </c>
      <c r="CE51" s="245">
        <v>0</v>
      </c>
      <c r="CF51" s="245">
        <v>0</v>
      </c>
      <c r="CG51" s="245">
        <v>0</v>
      </c>
      <c r="CH51" s="412" t="s">
        <v>279</v>
      </c>
      <c r="CI51" s="938"/>
      <c r="CJ51" s="853">
        <v>0</v>
      </c>
      <c r="CK51" s="1161">
        <v>97.222222222222229</v>
      </c>
      <c r="CL51" s="1161">
        <v>0</v>
      </c>
      <c r="CM51" s="245">
        <v>0</v>
      </c>
      <c r="CN51" s="245">
        <v>0</v>
      </c>
      <c r="CO51" s="245">
        <v>0</v>
      </c>
      <c r="CP51" s="412" t="s">
        <v>279</v>
      </c>
      <c r="CQ51" s="938"/>
      <c r="CR51" s="853">
        <v>0</v>
      </c>
      <c r="CS51" s="245">
        <v>819.44444444444434</v>
      </c>
      <c r="CT51" s="245">
        <v>0</v>
      </c>
      <c r="CU51" s="245">
        <v>0</v>
      </c>
      <c r="CV51" s="245">
        <v>0</v>
      </c>
      <c r="CW51" s="245">
        <v>0</v>
      </c>
      <c r="CX51" s="412" t="s">
        <v>279</v>
      </c>
      <c r="CY51" s="938"/>
      <c r="CZ51" s="853">
        <v>0</v>
      </c>
      <c r="DA51" s="245">
        <v>819.44444444444434</v>
      </c>
      <c r="DB51" s="245">
        <v>0</v>
      </c>
      <c r="DC51" s="245">
        <v>0</v>
      </c>
      <c r="DD51" s="245">
        <v>0</v>
      </c>
      <c r="DE51" s="245">
        <v>0</v>
      </c>
      <c r="DF51" s="412" t="s">
        <v>279</v>
      </c>
      <c r="DG51" s="938"/>
      <c r="DH51" s="853">
        <v>0</v>
      </c>
      <c r="DI51" s="1161">
        <v>97.222222222222229</v>
      </c>
      <c r="DJ51" s="1161">
        <v>0</v>
      </c>
      <c r="DK51" s="245">
        <v>0</v>
      </c>
      <c r="DL51" s="245">
        <v>0</v>
      </c>
      <c r="DM51" s="245">
        <v>0</v>
      </c>
      <c r="DN51" s="412" t="s">
        <v>279</v>
      </c>
      <c r="DO51" s="938"/>
      <c r="DP51" s="853">
        <v>0</v>
      </c>
      <c r="DQ51" s="1161">
        <v>97.222222222222229</v>
      </c>
      <c r="DR51" s="1161"/>
      <c r="DS51" s="245">
        <v>0</v>
      </c>
      <c r="DT51" s="245">
        <v>0</v>
      </c>
      <c r="DU51" s="245">
        <v>0</v>
      </c>
      <c r="DV51" s="412" t="s">
        <v>279</v>
      </c>
      <c r="DW51" s="938"/>
      <c r="DX51" s="853">
        <v>0</v>
      </c>
      <c r="DY51" s="1161">
        <v>97.222222222222229</v>
      </c>
      <c r="DZ51" s="1161"/>
      <c r="EA51" s="245">
        <v>0</v>
      </c>
      <c r="EB51" s="245">
        <v>0</v>
      </c>
      <c r="EC51" s="1233">
        <v>0</v>
      </c>
      <c r="ED51" s="1171" t="s">
        <v>279</v>
      </c>
      <c r="EE51" s="1230"/>
      <c r="EF51" s="853">
        <v>0</v>
      </c>
      <c r="EG51" s="245">
        <v>291.66666666666669</v>
      </c>
      <c r="EH51" s="245">
        <v>0</v>
      </c>
      <c r="EI51" s="245">
        <v>0</v>
      </c>
      <c r="EJ51" s="245">
        <v>0</v>
      </c>
      <c r="EK51" s="1233">
        <v>0</v>
      </c>
      <c r="EL51" s="1171" t="s">
        <v>279</v>
      </c>
      <c r="EM51" s="1230"/>
      <c r="EN51" s="853">
        <v>0</v>
      </c>
      <c r="EO51" s="245">
        <v>1111.1111111111111</v>
      </c>
      <c r="EP51" s="245">
        <v>0</v>
      </c>
      <c r="EQ51" s="245">
        <v>0</v>
      </c>
      <c r="ER51" s="245">
        <v>0</v>
      </c>
      <c r="ES51" s="1233">
        <v>0</v>
      </c>
      <c r="ET51" s="1171" t="s">
        <v>279</v>
      </c>
      <c r="EU51" s="1230"/>
      <c r="EV51" s="853">
        <v>0</v>
      </c>
      <c r="EW51" s="245">
        <v>1111.1111111111111</v>
      </c>
      <c r="EX51" s="245">
        <v>0</v>
      </c>
      <c r="EY51" s="245">
        <v>0</v>
      </c>
      <c r="EZ51" s="367">
        <v>0</v>
      </c>
      <c r="FA51" s="368">
        <v>0</v>
      </c>
      <c r="FB51" s="369" t="s">
        <v>279</v>
      </c>
    </row>
    <row r="52" spans="1:158" ht="20.100000000000001" customHeight="1" thickBot="1">
      <c r="B52" s="1740"/>
      <c r="C52" s="1741"/>
      <c r="D52" s="436" t="s">
        <v>14</v>
      </c>
      <c r="E52" s="437"/>
      <c r="F52" s="438"/>
      <c r="G52" s="439">
        <v>100</v>
      </c>
      <c r="H52" s="1229"/>
      <c r="I52" s="311"/>
      <c r="J52" s="312"/>
      <c r="K52" s="299">
        <v>7.0489999999999995</v>
      </c>
      <c r="L52" s="1229"/>
      <c r="M52" s="470"/>
      <c r="N52" s="471"/>
      <c r="O52" s="1230"/>
      <c r="P52" s="466"/>
      <c r="Q52" s="860"/>
      <c r="R52" s="854">
        <v>0</v>
      </c>
      <c r="S52" s="938"/>
      <c r="T52" s="466"/>
      <c r="U52" s="490" t="s">
        <v>4</v>
      </c>
      <c r="V52" s="854">
        <v>2.3833799999999998</v>
      </c>
      <c r="W52" s="938"/>
      <c r="X52" s="466"/>
      <c r="Y52" s="490" t="s">
        <v>4</v>
      </c>
      <c r="Z52" s="854">
        <v>2.4481124999999997</v>
      </c>
      <c r="AA52" s="938"/>
      <c r="AB52" s="466"/>
      <c r="AC52" s="490" t="s">
        <v>4</v>
      </c>
      <c r="AD52" s="855">
        <v>4.8314924999999995</v>
      </c>
      <c r="AE52" s="938"/>
      <c r="AF52" s="490"/>
      <c r="AG52" s="971"/>
      <c r="AH52" s="1225" t="s">
        <v>4</v>
      </c>
      <c r="AI52" s="490">
        <v>0</v>
      </c>
      <c r="AJ52" s="490"/>
      <c r="AK52" s="490">
        <v>1.6104975000000001</v>
      </c>
      <c r="AL52" s="467"/>
      <c r="AM52" s="938"/>
      <c r="AN52" s="490"/>
      <c r="AO52" s="971"/>
      <c r="AP52" s="1225" t="s">
        <v>4</v>
      </c>
      <c r="AQ52" s="854">
        <v>0</v>
      </c>
      <c r="AR52" s="974"/>
      <c r="AS52" s="490">
        <v>1.6104975000000001</v>
      </c>
      <c r="AT52" s="467"/>
      <c r="AU52" s="938"/>
      <c r="AV52" s="490"/>
      <c r="AW52" s="971"/>
      <c r="AX52" s="490" t="s">
        <v>4</v>
      </c>
      <c r="AY52" s="854">
        <v>1.6666666666666666E-2</v>
      </c>
      <c r="AZ52" s="974"/>
      <c r="BA52" s="490">
        <v>1.6271641666666667</v>
      </c>
      <c r="BB52" s="467"/>
      <c r="BC52" s="938"/>
      <c r="BD52" s="490"/>
      <c r="BE52" s="673"/>
      <c r="BF52" s="490" t="s">
        <v>4</v>
      </c>
      <c r="BG52" s="854">
        <v>1.6666666666666666E-2</v>
      </c>
      <c r="BH52" s="974"/>
      <c r="BI52" s="490">
        <v>1.6271641666666667</v>
      </c>
      <c r="BJ52" s="467"/>
      <c r="BK52" s="938"/>
      <c r="BL52" s="490"/>
      <c r="BM52" s="673"/>
      <c r="BN52" s="490" t="s">
        <v>4</v>
      </c>
      <c r="BO52" s="854">
        <v>4.8481591666666661</v>
      </c>
      <c r="BP52" s="974"/>
      <c r="BQ52" s="490">
        <v>1.6271641666666667</v>
      </c>
      <c r="BR52" s="467"/>
      <c r="BS52" s="938"/>
      <c r="BT52" s="490"/>
      <c r="BU52" s="673"/>
      <c r="BV52" s="490" t="s">
        <v>4</v>
      </c>
      <c r="BW52" s="854">
        <v>6.6666666666666671E-3</v>
      </c>
      <c r="BX52" s="974"/>
      <c r="BY52" s="490">
        <v>1.6338308333333336</v>
      </c>
      <c r="BZ52" s="467"/>
      <c r="CA52" s="938"/>
      <c r="CB52" s="490"/>
      <c r="CC52" s="673"/>
      <c r="CD52" s="490" t="s">
        <v>4</v>
      </c>
      <c r="CE52" s="854">
        <v>6.6666666666666666E-2</v>
      </c>
      <c r="CF52" s="974"/>
      <c r="CG52" s="490">
        <v>1.7004975</v>
      </c>
      <c r="CH52" s="467"/>
      <c r="CI52" s="938"/>
      <c r="CJ52" s="490"/>
      <c r="CK52" s="673"/>
      <c r="CL52" s="490" t="s">
        <v>4</v>
      </c>
      <c r="CM52" s="854">
        <v>0.2</v>
      </c>
      <c r="CN52" s="974"/>
      <c r="CO52" s="490">
        <v>1.9004975000000002</v>
      </c>
      <c r="CP52" s="467"/>
      <c r="CQ52" s="938"/>
      <c r="CR52" s="490"/>
      <c r="CS52" s="673"/>
      <c r="CT52" s="490" t="s">
        <v>4</v>
      </c>
      <c r="CU52" s="854">
        <v>0.27333333333333332</v>
      </c>
      <c r="CV52" s="974"/>
      <c r="CW52" s="490">
        <v>1.9004975000000002</v>
      </c>
      <c r="CX52" s="467"/>
      <c r="CY52" s="938"/>
      <c r="CZ52" s="490"/>
      <c r="DA52" s="673"/>
      <c r="DB52" s="490" t="s">
        <v>4</v>
      </c>
      <c r="DC52" s="854">
        <v>5.1214924999999996</v>
      </c>
      <c r="DD52" s="974"/>
      <c r="DE52" s="490">
        <v>1.9004975000000002</v>
      </c>
      <c r="DF52" s="467"/>
      <c r="DG52" s="938"/>
      <c r="DH52" s="490"/>
      <c r="DI52" s="673"/>
      <c r="DJ52" s="490" t="s">
        <v>4</v>
      </c>
      <c r="DK52" s="854">
        <v>0.21000000000000002</v>
      </c>
      <c r="DL52" s="974"/>
      <c r="DM52" s="490">
        <v>2.1104975000000001</v>
      </c>
      <c r="DN52" s="467"/>
      <c r="DO52" s="938"/>
      <c r="DP52" s="490"/>
      <c r="DQ52" s="673"/>
      <c r="DR52" s="490" t="s">
        <v>4</v>
      </c>
      <c r="DS52" s="854">
        <v>0</v>
      </c>
      <c r="DT52" s="974"/>
      <c r="DU52" s="490">
        <v>2.1104975000000001</v>
      </c>
      <c r="DV52" s="467"/>
      <c r="DW52" s="938"/>
      <c r="DX52" s="490"/>
      <c r="DY52" s="673"/>
      <c r="DZ52" s="490" t="s">
        <v>4</v>
      </c>
      <c r="EA52" s="854">
        <v>0</v>
      </c>
      <c r="EB52" s="1235"/>
      <c r="EC52" s="260">
        <v>2.1104975000000001</v>
      </c>
      <c r="ED52" s="471"/>
      <c r="EE52" s="1230"/>
      <c r="EF52" s="490"/>
      <c r="EG52" s="673"/>
      <c r="EH52" s="490" t="s">
        <v>4</v>
      </c>
      <c r="EI52" s="259">
        <v>0.21000000000000002</v>
      </c>
      <c r="EJ52" s="1235"/>
      <c r="EK52" s="260">
        <v>2.1104975000000001</v>
      </c>
      <c r="EL52" s="471"/>
      <c r="EM52" s="1230"/>
      <c r="EN52" s="490"/>
      <c r="EO52" s="673"/>
      <c r="EP52" s="490" t="s">
        <v>4</v>
      </c>
      <c r="EQ52" s="259">
        <v>0.48333333333333334</v>
      </c>
      <c r="ER52" s="1235"/>
      <c r="ES52" s="260">
        <v>2.1104975000000001</v>
      </c>
      <c r="ET52" s="471"/>
      <c r="EU52" s="1230"/>
      <c r="EV52" s="490"/>
      <c r="EW52" s="673"/>
      <c r="EX52" s="265" t="s">
        <v>4</v>
      </c>
      <c r="EY52" s="259">
        <v>5.3314924999999995</v>
      </c>
      <c r="EZ52" s="373"/>
      <c r="FA52" s="370">
        <v>2.1104975000000001</v>
      </c>
      <c r="FB52" s="371"/>
    </row>
    <row r="53" spans="1:158" ht="23.25" customHeight="1" thickTop="1">
      <c r="B53" s="1732" t="s">
        <v>165</v>
      </c>
      <c r="C53" s="1736" t="s">
        <v>792</v>
      </c>
      <c r="D53" s="185" t="s">
        <v>166</v>
      </c>
      <c r="E53" s="177" t="s">
        <v>134</v>
      </c>
      <c r="F53" s="433">
        <v>5000</v>
      </c>
      <c r="G53" s="267">
        <v>20</v>
      </c>
      <c r="H53" s="1229"/>
      <c r="I53" s="1239">
        <v>1000</v>
      </c>
      <c r="J53" s="460">
        <v>441</v>
      </c>
      <c r="K53" s="454">
        <v>44.1</v>
      </c>
      <c r="L53" s="1229"/>
      <c r="M53" s="1239">
        <v>1000</v>
      </c>
      <c r="N53" s="274">
        <v>1559</v>
      </c>
      <c r="O53" s="1230"/>
      <c r="P53" s="852">
        <v>16</v>
      </c>
      <c r="Q53" s="858">
        <v>249.44</v>
      </c>
      <c r="R53" s="412">
        <v>0.99775999999999998</v>
      </c>
      <c r="S53" s="938"/>
      <c r="T53" s="852">
        <v>15</v>
      </c>
      <c r="U53" s="243">
        <v>233.85</v>
      </c>
      <c r="V53" s="412">
        <v>0.93540000000000001</v>
      </c>
      <c r="W53" s="938"/>
      <c r="X53" s="852">
        <v>16</v>
      </c>
      <c r="Y53" s="243">
        <v>249.44</v>
      </c>
      <c r="Z53" s="412">
        <v>0.99775999999999998</v>
      </c>
      <c r="AA53" s="938"/>
      <c r="AB53" s="465">
        <v>15.666666666666666</v>
      </c>
      <c r="AC53" s="245">
        <v>244.24333333333331</v>
      </c>
      <c r="AD53" s="245">
        <v>0.97697333333333325</v>
      </c>
      <c r="AE53" s="938"/>
      <c r="AF53" s="853">
        <v>11.317338162064281</v>
      </c>
      <c r="AG53" s="1169">
        <v>2209</v>
      </c>
      <c r="AH53" s="1169">
        <v>250</v>
      </c>
      <c r="AI53" s="245">
        <v>1</v>
      </c>
      <c r="AJ53" s="245">
        <v>494.24333333333334</v>
      </c>
      <c r="AK53" s="245">
        <v>1.9769733333333335</v>
      </c>
      <c r="AL53" s="411" t="s">
        <v>279</v>
      </c>
      <c r="AM53" s="938"/>
      <c r="AN53" s="853">
        <v>15.844273426889997</v>
      </c>
      <c r="AO53" s="1169">
        <v>2209</v>
      </c>
      <c r="AP53" s="1169">
        <v>350</v>
      </c>
      <c r="AQ53" s="245">
        <v>1.4000000000000001</v>
      </c>
      <c r="AR53" s="245">
        <v>844.24333333333334</v>
      </c>
      <c r="AS53" s="245">
        <v>3.3769733333333334</v>
      </c>
      <c r="AT53" s="411" t="s">
        <v>279</v>
      </c>
      <c r="AU53" s="938"/>
      <c r="AV53" s="853">
        <v>69.275176395125087</v>
      </c>
      <c r="AW53" s="1161">
        <v>173.22222222222223</v>
      </c>
      <c r="AX53" s="1161">
        <v>120</v>
      </c>
      <c r="AY53" s="245">
        <v>0.48</v>
      </c>
      <c r="AZ53" s="245">
        <v>964.24333333333334</v>
      </c>
      <c r="BA53" s="245">
        <v>3.8569733333333334</v>
      </c>
      <c r="BB53" s="411" t="s">
        <v>279</v>
      </c>
      <c r="BC53" s="938"/>
      <c r="BD53" s="853">
        <v>15.682098690738364</v>
      </c>
      <c r="BE53" s="245">
        <v>4591.2222222222226</v>
      </c>
      <c r="BF53" s="245">
        <v>720</v>
      </c>
      <c r="BG53" s="245">
        <v>2.88</v>
      </c>
      <c r="BH53" s="245">
        <v>964.24333333333334</v>
      </c>
      <c r="BI53" s="245">
        <v>3.8569733333333334</v>
      </c>
      <c r="BJ53" s="411" t="s">
        <v>279</v>
      </c>
      <c r="BK53" s="938"/>
      <c r="BL53" s="853">
        <v>0</v>
      </c>
      <c r="BM53" s="245"/>
      <c r="BN53" s="245">
        <v>964.24333333333334</v>
      </c>
      <c r="BO53" s="245">
        <v>3.8569733333333334</v>
      </c>
      <c r="BP53" s="245">
        <v>964.24333333333334</v>
      </c>
      <c r="BQ53" s="245">
        <v>3.8569733333333334</v>
      </c>
      <c r="BR53" s="411" t="s">
        <v>279</v>
      </c>
      <c r="BS53" s="938"/>
      <c r="BT53" s="853">
        <v>4.6183450930083385</v>
      </c>
      <c r="BU53" s="1161">
        <v>173.22222222222223</v>
      </c>
      <c r="BV53" s="1161">
        <v>8</v>
      </c>
      <c r="BW53" s="245">
        <v>3.2000000000000001E-2</v>
      </c>
      <c r="BX53" s="245">
        <v>972.24333333333334</v>
      </c>
      <c r="BY53" s="245">
        <v>3.8889733333333334</v>
      </c>
      <c r="BZ53" s="411" t="s">
        <v>279</v>
      </c>
      <c r="CA53" s="938"/>
      <c r="CB53" s="853">
        <v>98.1398332264272</v>
      </c>
      <c r="CC53" s="1169">
        <v>173.22222222222223</v>
      </c>
      <c r="CD53" s="1161">
        <v>170</v>
      </c>
      <c r="CE53" s="245">
        <v>0.68</v>
      </c>
      <c r="CF53" s="245">
        <v>1142.2433333333333</v>
      </c>
      <c r="CG53" s="245">
        <v>4.5689733333333331</v>
      </c>
      <c r="CH53" s="411" t="s">
        <v>279</v>
      </c>
      <c r="CI53" s="938"/>
      <c r="CJ53" s="853">
        <v>87.748556767158433</v>
      </c>
      <c r="CK53" s="1161">
        <v>173.22222222222223</v>
      </c>
      <c r="CL53" s="1161">
        <v>152</v>
      </c>
      <c r="CM53" s="245">
        <v>0.60799999999999998</v>
      </c>
      <c r="CN53" s="245">
        <v>1294.2433333333333</v>
      </c>
      <c r="CO53" s="245">
        <v>5.1769733333333336</v>
      </c>
      <c r="CP53" s="411" t="s">
        <v>279</v>
      </c>
      <c r="CQ53" s="938"/>
      <c r="CR53" s="853">
        <v>63.502245028864643</v>
      </c>
      <c r="CS53" s="245">
        <v>519.66666666666674</v>
      </c>
      <c r="CT53" s="245">
        <v>330</v>
      </c>
      <c r="CU53" s="245">
        <v>1.32</v>
      </c>
      <c r="CV53" s="245">
        <v>1294.2433333333333</v>
      </c>
      <c r="CW53" s="245">
        <v>5.1769733333333336</v>
      </c>
      <c r="CX53" s="411" t="s">
        <v>279</v>
      </c>
      <c r="CY53" s="938"/>
      <c r="CZ53" s="853">
        <v>249.05259781911479</v>
      </c>
      <c r="DA53" s="245">
        <v>519.66666666666674</v>
      </c>
      <c r="DB53" s="245">
        <v>1294.2433333333333</v>
      </c>
      <c r="DC53" s="245">
        <v>5.1769733333333336</v>
      </c>
      <c r="DD53" s="245">
        <v>1294.2433333333333</v>
      </c>
      <c r="DE53" s="245">
        <v>5.1769733333333336</v>
      </c>
      <c r="DF53" s="411" t="s">
        <v>279</v>
      </c>
      <c r="DG53" s="938"/>
      <c r="DH53" s="853">
        <v>92.135984605516356</v>
      </c>
      <c r="DI53" s="1161">
        <v>173.22222222222223</v>
      </c>
      <c r="DJ53" s="1161">
        <v>159.6</v>
      </c>
      <c r="DK53" s="245">
        <v>0.63839999999999997</v>
      </c>
      <c r="DL53" s="245">
        <v>1453.8433333333332</v>
      </c>
      <c r="DM53" s="245">
        <v>5.8153733333333335</v>
      </c>
      <c r="DN53" s="411" t="s">
        <v>279</v>
      </c>
      <c r="DO53" s="938"/>
      <c r="DP53" s="853">
        <v>0</v>
      </c>
      <c r="DQ53" s="1161">
        <v>173.22222222222223</v>
      </c>
      <c r="DR53" s="1161"/>
      <c r="DS53" s="245">
        <v>0</v>
      </c>
      <c r="DT53" s="245">
        <v>1453.8433333333332</v>
      </c>
      <c r="DU53" s="245">
        <v>5.8153733333333335</v>
      </c>
      <c r="DV53" s="411" t="s">
        <v>279</v>
      </c>
      <c r="DW53" s="938"/>
      <c r="DX53" s="853">
        <v>0</v>
      </c>
      <c r="DY53" s="1161">
        <v>173.22222222222223</v>
      </c>
      <c r="DZ53" s="1161"/>
      <c r="EA53" s="245">
        <v>0</v>
      </c>
      <c r="EB53" s="245">
        <v>1453.8433333333332</v>
      </c>
      <c r="EC53" s="1233">
        <v>5.8153733333333335</v>
      </c>
      <c r="ED53" s="1168" t="s">
        <v>279</v>
      </c>
      <c r="EE53" s="1230"/>
      <c r="EF53" s="853">
        <v>30.71199486850545</v>
      </c>
      <c r="EG53" s="245">
        <v>519.66666666666674</v>
      </c>
      <c r="EH53" s="245">
        <v>159.6</v>
      </c>
      <c r="EI53" s="245">
        <v>0.63839999999999997</v>
      </c>
      <c r="EJ53" s="245">
        <v>1453.8433333333332</v>
      </c>
      <c r="EK53" s="1233">
        <v>5.8153733333333335</v>
      </c>
      <c r="EL53" s="1168" t="s">
        <v>279</v>
      </c>
      <c r="EM53" s="1230"/>
      <c r="EN53" s="853">
        <v>47.107119948685053</v>
      </c>
      <c r="EO53" s="245">
        <v>1039.3333333333335</v>
      </c>
      <c r="EP53" s="245">
        <v>489.6</v>
      </c>
      <c r="EQ53" s="245">
        <v>1.9584000000000001</v>
      </c>
      <c r="ER53" s="245">
        <v>1453.8433333333332</v>
      </c>
      <c r="ES53" s="1233">
        <v>5.8153733333333335</v>
      </c>
      <c r="ET53" s="1168" t="s">
        <v>279</v>
      </c>
      <c r="EU53" s="1230"/>
      <c r="EV53" s="853">
        <v>139.88229634381011</v>
      </c>
      <c r="EW53" s="245">
        <v>1039.3333333333335</v>
      </c>
      <c r="EX53" s="245">
        <v>1453.8433333333332</v>
      </c>
      <c r="EY53" s="245">
        <v>5.8153733333333335</v>
      </c>
      <c r="EZ53" s="367">
        <v>1453.8433333333332</v>
      </c>
      <c r="FA53" s="368">
        <v>5.8153733333333335</v>
      </c>
      <c r="FB53" s="372" t="s">
        <v>279</v>
      </c>
    </row>
    <row r="54" spans="1:158" ht="22.5" customHeight="1">
      <c r="B54" s="1733"/>
      <c r="C54" s="1737"/>
      <c r="D54" s="178" t="s">
        <v>167</v>
      </c>
      <c r="E54" s="174" t="s">
        <v>134</v>
      </c>
      <c r="F54" s="250">
        <v>5000</v>
      </c>
      <c r="G54" s="251">
        <v>20</v>
      </c>
      <c r="H54" s="1229"/>
      <c r="I54" s="983">
        <v>1000</v>
      </c>
      <c r="J54" s="455">
        <v>450</v>
      </c>
      <c r="K54" s="454">
        <v>45</v>
      </c>
      <c r="L54" s="1229"/>
      <c r="M54" s="983">
        <v>1000</v>
      </c>
      <c r="N54" s="274">
        <v>1550</v>
      </c>
      <c r="O54" s="1234"/>
      <c r="P54" s="465">
        <v>12</v>
      </c>
      <c r="Q54" s="859">
        <v>186</v>
      </c>
      <c r="R54" s="412">
        <v>0.74399999999999999</v>
      </c>
      <c r="S54" s="938"/>
      <c r="T54" s="465">
        <v>10</v>
      </c>
      <c r="U54" s="245">
        <v>155</v>
      </c>
      <c r="V54" s="412">
        <v>0.62</v>
      </c>
      <c r="W54" s="938"/>
      <c r="X54" s="465">
        <v>12</v>
      </c>
      <c r="Y54" s="245">
        <v>186</v>
      </c>
      <c r="Z54" s="412">
        <v>0.74399999999999999</v>
      </c>
      <c r="AA54" s="938"/>
      <c r="AB54" s="465">
        <v>11.333333333333334</v>
      </c>
      <c r="AC54" s="245">
        <v>175.66666666666669</v>
      </c>
      <c r="AD54" s="245">
        <v>0.70266666666666677</v>
      </c>
      <c r="AE54" s="938"/>
      <c r="AF54" s="853">
        <v>2.437835202340322</v>
      </c>
      <c r="AG54" s="1169">
        <v>6153</v>
      </c>
      <c r="AH54" s="1169">
        <v>150</v>
      </c>
      <c r="AI54" s="245">
        <v>0.6</v>
      </c>
      <c r="AJ54" s="245">
        <v>325.66666666666669</v>
      </c>
      <c r="AK54" s="245">
        <v>1.3026666666666669</v>
      </c>
      <c r="AL54" s="412" t="s">
        <v>279</v>
      </c>
      <c r="AM54" s="938"/>
      <c r="AN54" s="853">
        <v>4.0630586705672034</v>
      </c>
      <c r="AO54" s="1169">
        <v>6153</v>
      </c>
      <c r="AP54" s="1169">
        <v>250</v>
      </c>
      <c r="AQ54" s="245">
        <v>1</v>
      </c>
      <c r="AR54" s="245">
        <v>575.66666666666674</v>
      </c>
      <c r="AS54" s="245">
        <v>2.3026666666666671</v>
      </c>
      <c r="AT54" s="412" t="s">
        <v>279</v>
      </c>
      <c r="AU54" s="938"/>
      <c r="AV54" s="853">
        <v>63.502245028864657</v>
      </c>
      <c r="AW54" s="1161">
        <v>173.22222222222223</v>
      </c>
      <c r="AX54" s="1161">
        <v>110</v>
      </c>
      <c r="AY54" s="245">
        <v>0.44</v>
      </c>
      <c r="AZ54" s="245">
        <v>685.66666666666674</v>
      </c>
      <c r="BA54" s="245">
        <v>2.742666666666667</v>
      </c>
      <c r="BB54" s="412" t="s">
        <v>279</v>
      </c>
      <c r="BC54" s="938"/>
      <c r="BD54" s="853">
        <v>4.086793158405527</v>
      </c>
      <c r="BE54" s="245">
        <v>12479.222222222223</v>
      </c>
      <c r="BF54" s="245">
        <v>510</v>
      </c>
      <c r="BG54" s="245">
        <v>2.04</v>
      </c>
      <c r="BH54" s="245">
        <v>685.66666666666674</v>
      </c>
      <c r="BI54" s="245">
        <v>2.742666666666667</v>
      </c>
      <c r="BJ54" s="412" t="s">
        <v>279</v>
      </c>
      <c r="BK54" s="938"/>
      <c r="BL54" s="853">
        <v>0</v>
      </c>
      <c r="BM54" s="245"/>
      <c r="BN54" s="245">
        <v>685.66666666666674</v>
      </c>
      <c r="BO54" s="245">
        <v>2.742666666666667</v>
      </c>
      <c r="BP54" s="245">
        <v>685.66666666666674</v>
      </c>
      <c r="BQ54" s="245">
        <v>2.742666666666667</v>
      </c>
      <c r="BR54" s="412" t="s">
        <v>279</v>
      </c>
      <c r="BS54" s="938"/>
      <c r="BT54" s="853">
        <v>3.2743148193063307</v>
      </c>
      <c r="BU54" s="1161">
        <v>152.7037037037037</v>
      </c>
      <c r="BV54" s="1161">
        <v>5</v>
      </c>
      <c r="BW54" s="245">
        <v>0.02</v>
      </c>
      <c r="BX54" s="245">
        <v>690.66666666666674</v>
      </c>
      <c r="BY54" s="245">
        <v>2.762666666666667</v>
      </c>
      <c r="BZ54" s="412" t="s">
        <v>279</v>
      </c>
      <c r="CA54" s="938"/>
      <c r="CB54" s="853">
        <v>92.903225806451601</v>
      </c>
      <c r="CC54" s="1169">
        <v>172.22222222222223</v>
      </c>
      <c r="CD54" s="1161">
        <v>160</v>
      </c>
      <c r="CE54" s="245">
        <v>0.64</v>
      </c>
      <c r="CF54" s="245">
        <v>850.66666666666674</v>
      </c>
      <c r="CG54" s="245">
        <v>3.4026666666666672</v>
      </c>
      <c r="CH54" s="412" t="s">
        <v>279</v>
      </c>
      <c r="CI54" s="938"/>
      <c r="CJ54" s="853">
        <v>523.74193548387098</v>
      </c>
      <c r="CK54" s="1161">
        <v>172.22222222222223</v>
      </c>
      <c r="CL54" s="1161">
        <v>902</v>
      </c>
      <c r="CM54" s="245">
        <v>3.6080000000000001</v>
      </c>
      <c r="CN54" s="245">
        <v>1752.6666666666667</v>
      </c>
      <c r="CO54" s="245">
        <v>7.0106666666666673</v>
      </c>
      <c r="CP54" s="412" t="s">
        <v>279</v>
      </c>
      <c r="CQ54" s="938"/>
      <c r="CR54" s="853">
        <v>214.62415257394025</v>
      </c>
      <c r="CS54" s="245">
        <v>497.14814814814815</v>
      </c>
      <c r="CT54" s="245">
        <v>1067</v>
      </c>
      <c r="CU54" s="245">
        <v>4.2679999999999998</v>
      </c>
      <c r="CV54" s="245">
        <v>1752.6666666666667</v>
      </c>
      <c r="CW54" s="245">
        <v>7.0106666666666673</v>
      </c>
      <c r="CX54" s="412" t="s">
        <v>279</v>
      </c>
      <c r="CY54" s="938"/>
      <c r="CZ54" s="853">
        <v>352.54414065410117</v>
      </c>
      <c r="DA54" s="245">
        <v>497.14814814814815</v>
      </c>
      <c r="DB54" s="245">
        <v>1752.6666666666667</v>
      </c>
      <c r="DC54" s="245">
        <v>7.0106666666666673</v>
      </c>
      <c r="DD54" s="245">
        <v>1752.6666666666667</v>
      </c>
      <c r="DE54" s="245">
        <v>7.0106666666666673</v>
      </c>
      <c r="DF54" s="412" t="s">
        <v>279</v>
      </c>
      <c r="DG54" s="938"/>
      <c r="DH54" s="853">
        <v>549.92903225806447</v>
      </c>
      <c r="DI54" s="1161">
        <v>172.22222222222223</v>
      </c>
      <c r="DJ54" s="1161">
        <v>947.1</v>
      </c>
      <c r="DK54" s="245">
        <v>3.7884000000000002</v>
      </c>
      <c r="DL54" s="245">
        <v>2699.7666666666669</v>
      </c>
      <c r="DM54" s="245">
        <v>10.799066666666668</v>
      </c>
      <c r="DN54" s="412" t="s">
        <v>279</v>
      </c>
      <c r="DO54" s="938"/>
      <c r="DP54" s="853">
        <v>0</v>
      </c>
      <c r="DQ54" s="1161">
        <v>172.22222222222223</v>
      </c>
      <c r="DR54" s="1161"/>
      <c r="DS54" s="245">
        <v>0</v>
      </c>
      <c r="DT54" s="245">
        <v>2699.7666666666669</v>
      </c>
      <c r="DU54" s="245">
        <v>10.799066666666668</v>
      </c>
      <c r="DV54" s="412" t="s">
        <v>279</v>
      </c>
      <c r="DW54" s="938"/>
      <c r="DX54" s="853">
        <v>0</v>
      </c>
      <c r="DY54" s="1161">
        <v>172.22222222222223</v>
      </c>
      <c r="DZ54" s="1161"/>
      <c r="EA54" s="245">
        <v>0</v>
      </c>
      <c r="EB54" s="245">
        <v>2699.7666666666669</v>
      </c>
      <c r="EC54" s="1233">
        <v>10.799066666666668</v>
      </c>
      <c r="ED54" s="1171" t="s">
        <v>279</v>
      </c>
      <c r="EE54" s="1230"/>
      <c r="EF54" s="853">
        <v>183.30967741935481</v>
      </c>
      <c r="EG54" s="245">
        <v>516.66666666666674</v>
      </c>
      <c r="EH54" s="245">
        <v>947.1</v>
      </c>
      <c r="EI54" s="245">
        <v>3.7884000000000002</v>
      </c>
      <c r="EJ54" s="245">
        <v>2699.7666666666669</v>
      </c>
      <c r="EK54" s="1233">
        <v>10.799066666666668</v>
      </c>
      <c r="EL54" s="1171" t="s">
        <v>279</v>
      </c>
      <c r="EM54" s="1230"/>
      <c r="EN54" s="853">
        <v>198.6654732765864</v>
      </c>
      <c r="EO54" s="245">
        <v>1013.8148148148149</v>
      </c>
      <c r="EP54" s="245">
        <v>2014.1</v>
      </c>
      <c r="EQ54" s="245">
        <v>8.0564</v>
      </c>
      <c r="ER54" s="245">
        <v>2699.7666666666669</v>
      </c>
      <c r="ES54" s="1233">
        <v>10.799066666666668</v>
      </c>
      <c r="ET54" s="1171" t="s">
        <v>279</v>
      </c>
      <c r="EU54" s="1230"/>
      <c r="EV54" s="853">
        <v>266.2978117122712</v>
      </c>
      <c r="EW54" s="245">
        <v>1013.8148148148149</v>
      </c>
      <c r="EX54" s="245">
        <v>2699.7666666666664</v>
      </c>
      <c r="EY54" s="245">
        <v>10.799066666666667</v>
      </c>
      <c r="EZ54" s="367">
        <v>2699.7666666666669</v>
      </c>
      <c r="FA54" s="368">
        <v>10.799066666666668</v>
      </c>
      <c r="FB54" s="369" t="s">
        <v>279</v>
      </c>
    </row>
    <row r="55" spans="1:158" ht="22.5" customHeight="1">
      <c r="B55" s="1733"/>
      <c r="C55" s="1737"/>
      <c r="D55" s="178" t="s">
        <v>168</v>
      </c>
      <c r="E55" s="174" t="s">
        <v>134</v>
      </c>
      <c r="F55" s="250">
        <v>5000</v>
      </c>
      <c r="G55" s="251">
        <v>20</v>
      </c>
      <c r="H55" s="1229"/>
      <c r="I55" s="1226">
        <v>1000</v>
      </c>
      <c r="J55" s="455">
        <v>318</v>
      </c>
      <c r="K55" s="454">
        <v>31.8</v>
      </c>
      <c r="L55" s="1229"/>
      <c r="M55" s="983">
        <v>1000</v>
      </c>
      <c r="N55" s="274">
        <v>1682</v>
      </c>
      <c r="O55" s="1234"/>
      <c r="P55" s="465">
        <v>10</v>
      </c>
      <c r="Q55" s="859">
        <v>168.2</v>
      </c>
      <c r="R55" s="412">
        <v>0.67279999999999995</v>
      </c>
      <c r="S55" s="938"/>
      <c r="T55" s="465">
        <v>10</v>
      </c>
      <c r="U55" s="245">
        <v>168.2</v>
      </c>
      <c r="V55" s="412">
        <v>0</v>
      </c>
      <c r="W55" s="938"/>
      <c r="X55" s="465">
        <v>10</v>
      </c>
      <c r="Y55" s="245">
        <v>168.2</v>
      </c>
      <c r="Z55" s="412">
        <v>0.67279999999999995</v>
      </c>
      <c r="AA55" s="938"/>
      <c r="AB55" s="465">
        <v>10</v>
      </c>
      <c r="AC55" s="245">
        <v>168.2</v>
      </c>
      <c r="AD55" s="245">
        <v>0.67279999999999995</v>
      </c>
      <c r="AE55" s="938"/>
      <c r="AF55" s="853">
        <v>4.5829514207149407</v>
      </c>
      <c r="AG55" s="1169">
        <v>2182</v>
      </c>
      <c r="AH55" s="1169">
        <v>100</v>
      </c>
      <c r="AI55" s="245">
        <v>0.4</v>
      </c>
      <c r="AJ55" s="245">
        <v>268.2</v>
      </c>
      <c r="AK55" s="245">
        <v>1.0728</v>
      </c>
      <c r="AL55" s="412" t="s">
        <v>279</v>
      </c>
      <c r="AM55" s="938"/>
      <c r="AN55" s="853">
        <v>6.8744271310724105</v>
      </c>
      <c r="AO55" s="1169">
        <v>2182</v>
      </c>
      <c r="AP55" s="1169">
        <v>150</v>
      </c>
      <c r="AQ55" s="245">
        <v>0.6</v>
      </c>
      <c r="AR55" s="245">
        <v>418.2</v>
      </c>
      <c r="AS55" s="245">
        <v>1.6728000000000001</v>
      </c>
      <c r="AT55" s="412" t="s">
        <v>279</v>
      </c>
      <c r="AU55" s="938"/>
      <c r="AV55" s="853">
        <v>75.048107761385495</v>
      </c>
      <c r="AW55" s="1161">
        <v>173.22222222222223</v>
      </c>
      <c r="AX55" s="1161">
        <v>130</v>
      </c>
      <c r="AY55" s="245">
        <v>0.52</v>
      </c>
      <c r="AZ55" s="245">
        <v>548.20000000000005</v>
      </c>
      <c r="BA55" s="245">
        <v>2.1928000000000001</v>
      </c>
      <c r="BB55" s="412" t="s">
        <v>279</v>
      </c>
      <c r="BC55" s="938"/>
      <c r="BD55" s="853">
        <v>8.3751683604750813</v>
      </c>
      <c r="BE55" s="245">
        <v>4537.2222222222226</v>
      </c>
      <c r="BF55" s="245">
        <v>380</v>
      </c>
      <c r="BG55" s="245">
        <v>1.52</v>
      </c>
      <c r="BH55" s="245">
        <v>548.20000000000005</v>
      </c>
      <c r="BI55" s="245">
        <v>2.1928000000000001</v>
      </c>
      <c r="BJ55" s="412" t="s">
        <v>279</v>
      </c>
      <c r="BK55" s="938"/>
      <c r="BL55" s="853">
        <v>0</v>
      </c>
      <c r="BM55" s="245"/>
      <c r="BN55" s="245">
        <v>548.20000000000005</v>
      </c>
      <c r="BO55" s="245">
        <v>2.1928000000000001</v>
      </c>
      <c r="BP55" s="245">
        <v>548.20000000000005</v>
      </c>
      <c r="BQ55" s="245">
        <v>2.1928000000000001</v>
      </c>
      <c r="BR55" s="412" t="s">
        <v>279</v>
      </c>
      <c r="BS55" s="938"/>
      <c r="BT55" s="853">
        <v>4.1617122473246138</v>
      </c>
      <c r="BU55" s="1161">
        <v>168.2</v>
      </c>
      <c r="BV55" s="1161">
        <v>7</v>
      </c>
      <c r="BW55" s="245">
        <v>2.8000000000000001E-2</v>
      </c>
      <c r="BX55" s="245">
        <v>555.20000000000005</v>
      </c>
      <c r="BY55" s="245">
        <v>2.2208000000000001</v>
      </c>
      <c r="BZ55" s="412" t="s">
        <v>279</v>
      </c>
      <c r="CA55" s="938"/>
      <c r="CB55" s="853">
        <v>80.261593341260408</v>
      </c>
      <c r="CC55" s="1169">
        <v>186.88888888888889</v>
      </c>
      <c r="CD55" s="1161">
        <v>150</v>
      </c>
      <c r="CE55" s="245">
        <v>0.6</v>
      </c>
      <c r="CF55" s="245">
        <v>705.2</v>
      </c>
      <c r="CG55" s="245">
        <v>2.8208000000000002</v>
      </c>
      <c r="CH55" s="412" t="s">
        <v>279</v>
      </c>
      <c r="CI55" s="938"/>
      <c r="CJ55" s="853">
        <v>176.57550535077289</v>
      </c>
      <c r="CK55" s="1161">
        <v>186.88888888888889</v>
      </c>
      <c r="CL55" s="1161">
        <v>330</v>
      </c>
      <c r="CM55" s="245">
        <v>1.32</v>
      </c>
      <c r="CN55" s="245">
        <v>1035.2</v>
      </c>
      <c r="CO55" s="245">
        <v>4.1408000000000005</v>
      </c>
      <c r="CP55" s="412" t="s">
        <v>279</v>
      </c>
      <c r="CQ55" s="938"/>
      <c r="CR55" s="853">
        <v>89.856082660215677</v>
      </c>
      <c r="CS55" s="245">
        <v>541.97777777777776</v>
      </c>
      <c r="CT55" s="245">
        <v>487</v>
      </c>
      <c r="CU55" s="245">
        <v>1.948</v>
      </c>
      <c r="CV55" s="245">
        <v>1035.2</v>
      </c>
      <c r="CW55" s="245">
        <v>4.1408000000000005</v>
      </c>
      <c r="CX55" s="412" t="s">
        <v>279</v>
      </c>
      <c r="CY55" s="938"/>
      <c r="CZ55" s="853">
        <v>191.00414121120178</v>
      </c>
      <c r="DA55" s="245">
        <v>541.97777777777776</v>
      </c>
      <c r="DB55" s="245">
        <v>1035.2</v>
      </c>
      <c r="DC55" s="245">
        <v>4.1408000000000005</v>
      </c>
      <c r="DD55" s="245">
        <v>1035.2</v>
      </c>
      <c r="DE55" s="245">
        <v>4.1408000000000005</v>
      </c>
      <c r="DF55" s="412" t="s">
        <v>279</v>
      </c>
      <c r="DG55" s="938"/>
      <c r="DH55" s="853">
        <v>185.40428061831153</v>
      </c>
      <c r="DI55" s="1161">
        <v>186.88888888888889</v>
      </c>
      <c r="DJ55" s="1161">
        <v>346.5</v>
      </c>
      <c r="DK55" s="245">
        <v>1.3860000000000001</v>
      </c>
      <c r="DL55" s="245">
        <v>1381.7</v>
      </c>
      <c r="DM55" s="245">
        <v>5.5268000000000006</v>
      </c>
      <c r="DN55" s="412" t="s">
        <v>279</v>
      </c>
      <c r="DO55" s="938"/>
      <c r="DP55" s="853">
        <v>0</v>
      </c>
      <c r="DQ55" s="1161">
        <v>186.88888888888889</v>
      </c>
      <c r="DR55" s="1161"/>
      <c r="DS55" s="245">
        <v>0</v>
      </c>
      <c r="DT55" s="245">
        <v>1381.7</v>
      </c>
      <c r="DU55" s="245">
        <v>5.5268000000000006</v>
      </c>
      <c r="DV55" s="412" t="s">
        <v>279</v>
      </c>
      <c r="DW55" s="938"/>
      <c r="DX55" s="853">
        <v>0</v>
      </c>
      <c r="DY55" s="1161">
        <v>186.88888888888889</v>
      </c>
      <c r="DZ55" s="1161"/>
      <c r="EA55" s="245">
        <v>0</v>
      </c>
      <c r="EB55" s="245">
        <v>1381.7</v>
      </c>
      <c r="EC55" s="1233">
        <v>5.5268000000000006</v>
      </c>
      <c r="ED55" s="1171" t="s">
        <v>279</v>
      </c>
      <c r="EE55" s="1230"/>
      <c r="EF55" s="853">
        <v>61.801426872770513</v>
      </c>
      <c r="EG55" s="245">
        <v>560.66666666666663</v>
      </c>
      <c r="EH55" s="245">
        <v>346.5</v>
      </c>
      <c r="EI55" s="245">
        <v>1.3860000000000001</v>
      </c>
      <c r="EJ55" s="245">
        <v>1381.7</v>
      </c>
      <c r="EK55" s="1233">
        <v>5.5268000000000006</v>
      </c>
      <c r="EL55" s="1171" t="s">
        <v>279</v>
      </c>
      <c r="EM55" s="1230"/>
      <c r="EN55" s="853">
        <v>75.591003446260501</v>
      </c>
      <c r="EO55" s="245">
        <v>1102.6444444444444</v>
      </c>
      <c r="EP55" s="245">
        <v>833.5</v>
      </c>
      <c r="EQ55" s="245">
        <v>3.3340000000000001</v>
      </c>
      <c r="ER55" s="245">
        <v>1381.7</v>
      </c>
      <c r="ES55" s="1233">
        <v>5.5268000000000006</v>
      </c>
      <c r="ET55" s="1171" t="s">
        <v>279</v>
      </c>
      <c r="EU55" s="1230"/>
      <c r="EV55" s="853">
        <v>125.30784578488081</v>
      </c>
      <c r="EW55" s="245">
        <v>1102.6444444444444</v>
      </c>
      <c r="EX55" s="245">
        <v>1381.7</v>
      </c>
      <c r="EY55" s="245">
        <v>5.5268000000000006</v>
      </c>
      <c r="EZ55" s="367">
        <v>1381.7</v>
      </c>
      <c r="FA55" s="368">
        <v>5.5268000000000006</v>
      </c>
      <c r="FB55" s="369" t="s">
        <v>279</v>
      </c>
    </row>
    <row r="56" spans="1:158" ht="21.75" customHeight="1">
      <c r="B56" s="1734"/>
      <c r="C56" s="1738"/>
      <c r="D56" s="179" t="s">
        <v>169</v>
      </c>
      <c r="E56" s="180" t="s">
        <v>134</v>
      </c>
      <c r="F56" s="275">
        <v>5000</v>
      </c>
      <c r="G56" s="256">
        <v>20</v>
      </c>
      <c r="H56" s="1229"/>
      <c r="I56" s="1226">
        <v>1000</v>
      </c>
      <c r="J56" s="455">
        <v>528</v>
      </c>
      <c r="K56" s="454">
        <v>52.800000000000004</v>
      </c>
      <c r="L56" s="1229"/>
      <c r="M56" s="983">
        <v>1000</v>
      </c>
      <c r="N56" s="274">
        <v>1472</v>
      </c>
      <c r="O56" s="1234"/>
      <c r="P56" s="465">
        <v>12</v>
      </c>
      <c r="Q56" s="859">
        <v>176.64</v>
      </c>
      <c r="R56" s="412">
        <v>0.70655999999999997</v>
      </c>
      <c r="S56" s="938"/>
      <c r="T56" s="465">
        <v>10</v>
      </c>
      <c r="U56" s="245">
        <v>147.19999999999999</v>
      </c>
      <c r="V56" s="412">
        <v>0.58879999999999999</v>
      </c>
      <c r="W56" s="938"/>
      <c r="X56" s="465">
        <v>12</v>
      </c>
      <c r="Y56" s="245">
        <v>176.64</v>
      </c>
      <c r="Z56" s="412">
        <v>0.70655999999999997</v>
      </c>
      <c r="AA56" s="938"/>
      <c r="AB56" s="465">
        <v>11.333333333333334</v>
      </c>
      <c r="AC56" s="245">
        <v>166.82666666666668</v>
      </c>
      <c r="AD56" s="245">
        <v>0.66730666666666671</v>
      </c>
      <c r="AE56" s="938"/>
      <c r="AF56" s="853">
        <v>6.0851926977687629</v>
      </c>
      <c r="AG56" s="1169">
        <v>1972</v>
      </c>
      <c r="AH56" s="1169">
        <v>120</v>
      </c>
      <c r="AI56" s="245">
        <v>0.48</v>
      </c>
      <c r="AJ56" s="245">
        <v>286.82666666666671</v>
      </c>
      <c r="AK56" s="245">
        <v>1.1473066666666669</v>
      </c>
      <c r="AL56" s="412" t="s">
        <v>279</v>
      </c>
      <c r="AM56" s="938"/>
      <c r="AN56" s="853">
        <v>7.6064908722109541</v>
      </c>
      <c r="AO56" s="1169">
        <v>1972</v>
      </c>
      <c r="AP56" s="1169">
        <v>150</v>
      </c>
      <c r="AQ56" s="245">
        <v>0.6</v>
      </c>
      <c r="AR56" s="245">
        <v>436.82666666666671</v>
      </c>
      <c r="AS56" s="245">
        <v>1.7473066666666668</v>
      </c>
      <c r="AT56" s="412" t="s">
        <v>279</v>
      </c>
      <c r="AU56" s="938"/>
      <c r="AV56" s="853">
        <v>54.842847979474016</v>
      </c>
      <c r="AW56" s="1161">
        <v>173.22222222222223</v>
      </c>
      <c r="AX56" s="1161">
        <v>95</v>
      </c>
      <c r="AY56" s="245">
        <v>0.38</v>
      </c>
      <c r="AZ56" s="245">
        <v>531.82666666666671</v>
      </c>
      <c r="BA56" s="245">
        <v>2.1273066666666667</v>
      </c>
      <c r="BB56" s="412" t="s">
        <v>279</v>
      </c>
      <c r="BC56" s="938"/>
      <c r="BD56" s="853">
        <v>8.8652003778167572</v>
      </c>
      <c r="BE56" s="245">
        <v>4117.2222222222226</v>
      </c>
      <c r="BF56" s="245">
        <v>365</v>
      </c>
      <c r="BG56" s="245">
        <v>1.46</v>
      </c>
      <c r="BH56" s="245">
        <v>531.82666666666671</v>
      </c>
      <c r="BI56" s="245">
        <v>2.1273066666666667</v>
      </c>
      <c r="BJ56" s="412" t="s">
        <v>279</v>
      </c>
      <c r="BK56" s="938"/>
      <c r="BL56" s="853">
        <v>0</v>
      </c>
      <c r="BM56" s="245"/>
      <c r="BN56" s="245">
        <v>531.82666666666671</v>
      </c>
      <c r="BO56" s="245">
        <v>2.1273066666666667</v>
      </c>
      <c r="BP56" s="245">
        <v>531.82666666666671</v>
      </c>
      <c r="BQ56" s="245">
        <v>2.1273066666666667</v>
      </c>
      <c r="BR56" s="412" t="s">
        <v>279</v>
      </c>
      <c r="BS56" s="938"/>
      <c r="BT56" s="853">
        <v>3.447817914351095</v>
      </c>
      <c r="BU56" s="1161">
        <v>145.01925925925926</v>
      </c>
      <c r="BV56" s="1161">
        <v>5</v>
      </c>
      <c r="BW56" s="245">
        <v>0.02</v>
      </c>
      <c r="BX56" s="245">
        <v>536.82666666666671</v>
      </c>
      <c r="BY56" s="245">
        <v>2.1473066666666667</v>
      </c>
      <c r="BZ56" s="412" t="s">
        <v>279</v>
      </c>
      <c r="CA56" s="938"/>
      <c r="CB56" s="853">
        <v>91.71195652173914</v>
      </c>
      <c r="CC56" s="1169">
        <v>163.55555555555554</v>
      </c>
      <c r="CD56" s="1161">
        <v>150</v>
      </c>
      <c r="CE56" s="245">
        <v>0.6</v>
      </c>
      <c r="CF56" s="245">
        <v>686.82666666666671</v>
      </c>
      <c r="CG56" s="245">
        <v>2.7473066666666668</v>
      </c>
      <c r="CH56" s="412" t="s">
        <v>279</v>
      </c>
      <c r="CI56" s="938"/>
      <c r="CJ56" s="853">
        <v>91.71195652173914</v>
      </c>
      <c r="CK56" s="1161">
        <v>163.55555555555554</v>
      </c>
      <c r="CL56" s="1161">
        <v>150</v>
      </c>
      <c r="CM56" s="245">
        <v>0.6</v>
      </c>
      <c r="CN56" s="245">
        <v>836.82666666666671</v>
      </c>
      <c r="CO56" s="245">
        <v>3.3473066666666669</v>
      </c>
      <c r="CP56" s="412" t="s">
        <v>279</v>
      </c>
      <c r="CQ56" s="938"/>
      <c r="CR56" s="853">
        <v>64.60080078321117</v>
      </c>
      <c r="CS56" s="245">
        <v>472.13037037037031</v>
      </c>
      <c r="CT56" s="245">
        <v>305</v>
      </c>
      <c r="CU56" s="245">
        <v>1.22</v>
      </c>
      <c r="CV56" s="245">
        <v>836.82666666666671</v>
      </c>
      <c r="CW56" s="245">
        <v>3.3473066666666669</v>
      </c>
      <c r="CX56" s="412" t="s">
        <v>279</v>
      </c>
      <c r="CY56" s="938"/>
      <c r="CZ56" s="853">
        <v>177.24482879807212</v>
      </c>
      <c r="DA56" s="245">
        <v>472.13037037037031</v>
      </c>
      <c r="DB56" s="245">
        <v>836.82666666666671</v>
      </c>
      <c r="DC56" s="245">
        <v>3.3473066666666669</v>
      </c>
      <c r="DD56" s="245">
        <v>836.82666666666671</v>
      </c>
      <c r="DE56" s="245">
        <v>3.3473066666666669</v>
      </c>
      <c r="DF56" s="412" t="s">
        <v>279</v>
      </c>
      <c r="DG56" s="938"/>
      <c r="DH56" s="853">
        <v>96.297554347826093</v>
      </c>
      <c r="DI56" s="1161">
        <v>163.55555555555554</v>
      </c>
      <c r="DJ56" s="1161">
        <v>157.5</v>
      </c>
      <c r="DK56" s="245">
        <v>0.63</v>
      </c>
      <c r="DL56" s="245">
        <v>994.32666666666671</v>
      </c>
      <c r="DM56" s="245">
        <v>3.9773066666666668</v>
      </c>
      <c r="DN56" s="412" t="s">
        <v>279</v>
      </c>
      <c r="DO56" s="938"/>
      <c r="DP56" s="853">
        <v>0</v>
      </c>
      <c r="DQ56" s="1161">
        <v>163.55555555555554</v>
      </c>
      <c r="DR56" s="1161"/>
      <c r="DS56" s="245">
        <v>0</v>
      </c>
      <c r="DT56" s="245">
        <v>994.32666666666671</v>
      </c>
      <c r="DU56" s="245">
        <v>3.9773066666666668</v>
      </c>
      <c r="DV56" s="412" t="s">
        <v>279</v>
      </c>
      <c r="DW56" s="938"/>
      <c r="DX56" s="853">
        <v>0</v>
      </c>
      <c r="DY56" s="1161">
        <v>163.55555555555554</v>
      </c>
      <c r="DZ56" s="1161"/>
      <c r="EA56" s="245">
        <v>0</v>
      </c>
      <c r="EB56" s="245">
        <v>994.32666666666671</v>
      </c>
      <c r="EC56" s="1233">
        <v>3.9773066666666668</v>
      </c>
      <c r="ED56" s="1171" t="s">
        <v>279</v>
      </c>
      <c r="EE56" s="1230"/>
      <c r="EF56" s="853">
        <v>32.099184782608695</v>
      </c>
      <c r="EG56" s="245">
        <v>490.66666666666663</v>
      </c>
      <c r="EH56" s="245">
        <v>157.5</v>
      </c>
      <c r="EI56" s="245">
        <v>0.63</v>
      </c>
      <c r="EJ56" s="245">
        <v>994.32666666666671</v>
      </c>
      <c r="EK56" s="1233">
        <v>3.9773066666666668</v>
      </c>
      <c r="EL56" s="1171" t="s">
        <v>279</v>
      </c>
      <c r="EM56" s="1230"/>
      <c r="EN56" s="853">
        <v>48.037123319710481</v>
      </c>
      <c r="EO56" s="245">
        <v>962.79703703703694</v>
      </c>
      <c r="EP56" s="245">
        <v>462.5</v>
      </c>
      <c r="EQ56" s="245">
        <v>1.85</v>
      </c>
      <c r="ER56" s="245">
        <v>994.32666666666671</v>
      </c>
      <c r="ES56" s="1233">
        <v>3.9773066666666668</v>
      </c>
      <c r="ET56" s="1171" t="s">
        <v>279</v>
      </c>
      <c r="EU56" s="1230"/>
      <c r="EV56" s="853">
        <v>103.27479504160719</v>
      </c>
      <c r="EW56" s="245">
        <v>962.79703703703694</v>
      </c>
      <c r="EX56" s="245">
        <v>994.32666666666671</v>
      </c>
      <c r="EY56" s="245">
        <v>3.9773066666666668</v>
      </c>
      <c r="EZ56" s="367">
        <v>994.32666666666671</v>
      </c>
      <c r="FA56" s="368">
        <v>3.9773066666666668</v>
      </c>
      <c r="FB56" s="369" t="s">
        <v>279</v>
      </c>
    </row>
    <row r="57" spans="1:158" ht="38.25" customHeight="1">
      <c r="B57" s="1734"/>
      <c r="C57" s="1738"/>
      <c r="D57" s="179" t="s">
        <v>174</v>
      </c>
      <c r="E57" s="180" t="s">
        <v>170</v>
      </c>
      <c r="F57" s="275">
        <v>1</v>
      </c>
      <c r="G57" s="256">
        <v>20</v>
      </c>
      <c r="H57" s="1229"/>
      <c r="I57" s="449">
        <v>0.2</v>
      </c>
      <c r="J57" s="455">
        <v>0</v>
      </c>
      <c r="K57" s="454">
        <v>0</v>
      </c>
      <c r="L57" s="1229"/>
      <c r="M57" s="253">
        <v>0.2</v>
      </c>
      <c r="N57" s="412">
        <v>0.4</v>
      </c>
      <c r="O57" s="1234"/>
      <c r="P57" s="465">
        <v>0</v>
      </c>
      <c r="Q57" s="859">
        <v>0</v>
      </c>
      <c r="R57" s="412">
        <v>0</v>
      </c>
      <c r="S57" s="938"/>
      <c r="T57" s="465">
        <v>0</v>
      </c>
      <c r="U57" s="245">
        <v>0</v>
      </c>
      <c r="V57" s="412">
        <v>0</v>
      </c>
      <c r="W57" s="938"/>
      <c r="X57" s="465">
        <v>0</v>
      </c>
      <c r="Y57" s="245">
        <v>0</v>
      </c>
      <c r="Z57" s="412">
        <v>0</v>
      </c>
      <c r="AA57" s="938"/>
      <c r="AB57" s="465">
        <v>0</v>
      </c>
      <c r="AC57" s="245">
        <v>0</v>
      </c>
      <c r="AD57" s="245">
        <v>0</v>
      </c>
      <c r="AE57" s="938"/>
      <c r="AF57" s="853">
        <v>30</v>
      </c>
      <c r="AG57" s="1169">
        <v>1</v>
      </c>
      <c r="AH57" s="1169">
        <v>0.3</v>
      </c>
      <c r="AI57" s="245">
        <v>6</v>
      </c>
      <c r="AJ57" s="245">
        <v>0.3</v>
      </c>
      <c r="AK57" s="245">
        <v>6</v>
      </c>
      <c r="AL57" s="412" t="s">
        <v>279</v>
      </c>
      <c r="AM57" s="938"/>
      <c r="AN57" s="853">
        <v>30</v>
      </c>
      <c r="AO57" s="1169">
        <v>1</v>
      </c>
      <c r="AP57" s="1169">
        <v>0.3</v>
      </c>
      <c r="AQ57" s="245">
        <v>6</v>
      </c>
      <c r="AR57" s="245">
        <v>0.6</v>
      </c>
      <c r="AS57" s="245">
        <v>12</v>
      </c>
      <c r="AT57" s="412" t="s">
        <v>279</v>
      </c>
      <c r="AU57" s="938"/>
      <c r="AV57" s="853">
        <v>0</v>
      </c>
      <c r="AW57" s="1161">
        <v>0.5</v>
      </c>
      <c r="AX57" s="1161">
        <v>0</v>
      </c>
      <c r="AY57" s="245">
        <v>0</v>
      </c>
      <c r="AZ57" s="245">
        <v>0.6</v>
      </c>
      <c r="BA57" s="245">
        <v>12</v>
      </c>
      <c r="BB57" s="412" t="s">
        <v>279</v>
      </c>
      <c r="BC57" s="938"/>
      <c r="BD57" s="853">
        <v>24</v>
      </c>
      <c r="BE57" s="245">
        <v>2.5</v>
      </c>
      <c r="BF57" s="245">
        <v>0.6</v>
      </c>
      <c r="BG57" s="245">
        <v>12</v>
      </c>
      <c r="BH57" s="245">
        <v>0.6</v>
      </c>
      <c r="BI57" s="245">
        <v>12</v>
      </c>
      <c r="BJ57" s="412" t="s">
        <v>279</v>
      </c>
      <c r="BK57" s="938"/>
      <c r="BL57" s="853">
        <v>0</v>
      </c>
      <c r="BM57" s="245"/>
      <c r="BN57" s="245">
        <v>0.6</v>
      </c>
      <c r="BO57" s="245">
        <v>12</v>
      </c>
      <c r="BP57" s="245">
        <v>0.6</v>
      </c>
      <c r="BQ57" s="245">
        <v>12</v>
      </c>
      <c r="BR57" s="412" t="s">
        <v>279</v>
      </c>
      <c r="BS57" s="938"/>
      <c r="BT57" s="853">
        <v>0</v>
      </c>
      <c r="BU57" s="1161">
        <v>0.06</v>
      </c>
      <c r="BV57" s="1161">
        <v>0</v>
      </c>
      <c r="BW57" s="245">
        <v>0</v>
      </c>
      <c r="BX57" s="245">
        <v>0.6</v>
      </c>
      <c r="BY57" s="245">
        <v>12</v>
      </c>
      <c r="BZ57" s="412" t="s">
        <v>279</v>
      </c>
      <c r="CA57" s="938"/>
      <c r="CB57" s="853">
        <v>0</v>
      </c>
      <c r="CC57" s="1169">
        <v>4.4444444444444446E-2</v>
      </c>
      <c r="CD57" s="1161">
        <v>0</v>
      </c>
      <c r="CE57" s="245">
        <v>0</v>
      </c>
      <c r="CF57" s="245">
        <v>0.6</v>
      </c>
      <c r="CG57" s="245">
        <v>12</v>
      </c>
      <c r="CH57" s="412" t="s">
        <v>279</v>
      </c>
      <c r="CI57" s="938"/>
      <c r="CJ57" s="853">
        <v>45</v>
      </c>
      <c r="CK57" s="1161">
        <v>4.4444444444444446E-2</v>
      </c>
      <c r="CL57" s="1161">
        <v>0.02</v>
      </c>
      <c r="CM57" s="245">
        <v>0.4</v>
      </c>
      <c r="CN57" s="245">
        <v>0.62</v>
      </c>
      <c r="CO57" s="245">
        <v>12.4</v>
      </c>
      <c r="CP57" s="412" t="s">
        <v>279</v>
      </c>
      <c r="CQ57" s="938"/>
      <c r="CR57" s="853">
        <v>13.432835820895523</v>
      </c>
      <c r="CS57" s="245">
        <v>0.1488888888888889</v>
      </c>
      <c r="CT57" s="245">
        <v>0.02</v>
      </c>
      <c r="CU57" s="245">
        <v>0.4</v>
      </c>
      <c r="CV57" s="245">
        <v>0.62</v>
      </c>
      <c r="CW57" s="245">
        <v>12.4</v>
      </c>
      <c r="CX57" s="412" t="s">
        <v>279</v>
      </c>
      <c r="CY57" s="938"/>
      <c r="CZ57" s="853">
        <v>416.41791044776113</v>
      </c>
      <c r="DA57" s="245">
        <v>0.1488888888888889</v>
      </c>
      <c r="DB57" s="245">
        <v>0.62</v>
      </c>
      <c r="DC57" s="245">
        <v>12.4</v>
      </c>
      <c r="DD57" s="245">
        <v>0.62</v>
      </c>
      <c r="DE57" s="245">
        <v>12.4</v>
      </c>
      <c r="DF57" s="412" t="s">
        <v>279</v>
      </c>
      <c r="DG57" s="938"/>
      <c r="DH57" s="853">
        <v>47.25</v>
      </c>
      <c r="DI57" s="1161">
        <v>4.4444444444444446E-2</v>
      </c>
      <c r="DJ57" s="1161">
        <v>2.1000000000000001E-2</v>
      </c>
      <c r="DK57" s="245">
        <v>0.42000000000000004</v>
      </c>
      <c r="DL57" s="245">
        <v>0.64100000000000001</v>
      </c>
      <c r="DM57" s="245">
        <v>12.82</v>
      </c>
      <c r="DN57" s="412" t="s">
        <v>279</v>
      </c>
      <c r="DO57" s="938"/>
      <c r="DP57" s="853">
        <v>0</v>
      </c>
      <c r="DQ57" s="1161">
        <v>4.4444444444444446E-2</v>
      </c>
      <c r="DR57" s="1161"/>
      <c r="DS57" s="245">
        <v>0</v>
      </c>
      <c r="DT57" s="245">
        <v>0.64100000000000001</v>
      </c>
      <c r="DU57" s="245">
        <v>12.82</v>
      </c>
      <c r="DV57" s="412" t="s">
        <v>279</v>
      </c>
      <c r="DW57" s="938"/>
      <c r="DX57" s="853">
        <v>0</v>
      </c>
      <c r="DY57" s="1161">
        <v>4.4444444444444446E-2</v>
      </c>
      <c r="DZ57" s="1161"/>
      <c r="EA57" s="245">
        <v>0</v>
      </c>
      <c r="EB57" s="245">
        <v>0.64100000000000001</v>
      </c>
      <c r="EC57" s="1233">
        <v>12.82</v>
      </c>
      <c r="ED57" s="1171" t="s">
        <v>279</v>
      </c>
      <c r="EE57" s="1230"/>
      <c r="EF57" s="853">
        <v>15.75</v>
      </c>
      <c r="EG57" s="245">
        <v>0.13333333333333333</v>
      </c>
      <c r="EH57" s="245">
        <v>2.1000000000000001E-2</v>
      </c>
      <c r="EI57" s="245">
        <v>0.42000000000000004</v>
      </c>
      <c r="EJ57" s="245">
        <v>0.64100000000000001</v>
      </c>
      <c r="EK57" s="1233">
        <v>12.82</v>
      </c>
      <c r="EL57" s="1171" t="s">
        <v>279</v>
      </c>
      <c r="EM57" s="1230"/>
      <c r="EN57" s="853">
        <v>14.527559055118108</v>
      </c>
      <c r="EO57" s="245">
        <v>0.28222222222222226</v>
      </c>
      <c r="EP57" s="245">
        <v>4.1000000000000002E-2</v>
      </c>
      <c r="EQ57" s="245">
        <v>0.82000000000000006</v>
      </c>
      <c r="ER57" s="245">
        <v>0.64100000000000001</v>
      </c>
      <c r="ES57" s="1233">
        <v>12.82</v>
      </c>
      <c r="ET57" s="1171" t="s">
        <v>279</v>
      </c>
      <c r="EU57" s="1230"/>
      <c r="EV57" s="853">
        <v>227.12598425196848</v>
      </c>
      <c r="EW57" s="245">
        <v>0.28222222222222226</v>
      </c>
      <c r="EX57" s="245">
        <v>0.64100000000000001</v>
      </c>
      <c r="EY57" s="245">
        <v>12.82</v>
      </c>
      <c r="EZ57" s="367">
        <v>0.64100000000000001</v>
      </c>
      <c r="FA57" s="368">
        <v>12.82</v>
      </c>
      <c r="FB57" s="369" t="s">
        <v>279</v>
      </c>
    </row>
    <row r="58" spans="1:158" ht="23.25" customHeight="1" thickBot="1">
      <c r="B58" s="1735"/>
      <c r="C58" s="1739"/>
      <c r="D58" s="440" t="s">
        <v>14</v>
      </c>
      <c r="E58" s="186"/>
      <c r="F58" s="276"/>
      <c r="G58" s="277">
        <v>100</v>
      </c>
      <c r="H58" s="1240"/>
      <c r="I58" s="315"/>
      <c r="J58" s="461"/>
      <c r="K58" s="462">
        <v>173.7</v>
      </c>
      <c r="L58" s="1240"/>
      <c r="M58" s="478"/>
      <c r="N58" s="479"/>
      <c r="O58" s="1241"/>
      <c r="P58" s="856"/>
      <c r="Q58" s="862"/>
      <c r="R58" s="855">
        <v>3.1211199999999999</v>
      </c>
      <c r="S58" s="941"/>
      <c r="T58" s="856"/>
      <c r="U58" s="857"/>
      <c r="V58" s="855">
        <v>2.1442000000000001</v>
      </c>
      <c r="W58" s="941"/>
      <c r="X58" s="856"/>
      <c r="Y58" s="482" t="s">
        <v>4</v>
      </c>
      <c r="Z58" s="855">
        <v>3.1211199999999999</v>
      </c>
      <c r="AA58" s="941"/>
      <c r="AB58" s="856"/>
      <c r="AC58" s="482" t="s">
        <v>4</v>
      </c>
      <c r="AD58" s="855">
        <v>8.3864400000000003</v>
      </c>
      <c r="AE58" s="941"/>
      <c r="AF58" s="857"/>
      <c r="AG58" s="977"/>
      <c r="AH58" s="482" t="s">
        <v>4</v>
      </c>
      <c r="AI58" s="855">
        <v>8.48</v>
      </c>
      <c r="AJ58" s="978"/>
      <c r="AK58" s="857">
        <v>11.499746666666667</v>
      </c>
      <c r="AL58" s="979"/>
      <c r="AM58" s="941"/>
      <c r="AN58" s="857"/>
      <c r="AO58" s="977"/>
      <c r="AP58" s="482" t="s">
        <v>4</v>
      </c>
      <c r="AQ58" s="855">
        <v>9.6000000000000014</v>
      </c>
      <c r="AR58" s="978"/>
      <c r="AS58" s="857">
        <v>21.099746666666668</v>
      </c>
      <c r="AT58" s="979"/>
      <c r="AU58" s="941"/>
      <c r="AV58" s="857"/>
      <c r="AW58" s="977"/>
      <c r="AX58" s="254" t="s">
        <v>4</v>
      </c>
      <c r="AY58" s="855">
        <v>1.8199999999999998</v>
      </c>
      <c r="AZ58" s="978"/>
      <c r="BA58" s="857">
        <v>22.919746666666668</v>
      </c>
      <c r="BB58" s="979"/>
      <c r="BC58" s="941"/>
      <c r="BD58" s="857"/>
      <c r="BE58" s="977"/>
      <c r="BF58" s="482" t="s">
        <v>4</v>
      </c>
      <c r="BG58" s="855">
        <v>19.900000000000002</v>
      </c>
      <c r="BH58" s="978"/>
      <c r="BI58" s="857">
        <v>22.919746666666668</v>
      </c>
      <c r="BJ58" s="979"/>
      <c r="BK58" s="941"/>
      <c r="BL58" s="857"/>
      <c r="BM58" s="977"/>
      <c r="BN58" s="482" t="s">
        <v>4</v>
      </c>
      <c r="BO58" s="855">
        <v>28.286440000000002</v>
      </c>
      <c r="BP58" s="978"/>
      <c r="BQ58" s="857">
        <v>22.919746666666668</v>
      </c>
      <c r="BR58" s="979"/>
      <c r="BS58" s="941"/>
      <c r="BT58" s="857"/>
      <c r="BU58" s="977"/>
      <c r="BV58" s="254" t="s">
        <v>4</v>
      </c>
      <c r="BW58" s="855">
        <v>0.1</v>
      </c>
      <c r="BX58" s="978"/>
      <c r="BY58" s="857">
        <v>23.01974666666667</v>
      </c>
      <c r="BZ58" s="979"/>
      <c r="CA58" s="941"/>
      <c r="CB58" s="857"/>
      <c r="CC58" s="977"/>
      <c r="CD58" s="482" t="s">
        <v>4</v>
      </c>
      <c r="CE58" s="855">
        <v>2.52</v>
      </c>
      <c r="CF58" s="978"/>
      <c r="CG58" s="857">
        <v>25.539746666666666</v>
      </c>
      <c r="CH58" s="979"/>
      <c r="CI58" s="941"/>
      <c r="CJ58" s="857"/>
      <c r="CK58" s="977"/>
      <c r="CL58" s="482" t="s">
        <v>4</v>
      </c>
      <c r="CM58" s="855">
        <v>6.5360000000000005</v>
      </c>
      <c r="CN58" s="978"/>
      <c r="CO58" s="857">
        <v>32.075746666666667</v>
      </c>
      <c r="CP58" s="979"/>
      <c r="CQ58" s="941"/>
      <c r="CR58" s="857"/>
      <c r="CS58" s="977"/>
      <c r="CT58" s="482" t="s">
        <v>4</v>
      </c>
      <c r="CU58" s="855">
        <v>9.1560000000000006</v>
      </c>
      <c r="CV58" s="978"/>
      <c r="CW58" s="857">
        <v>32.075746666666667</v>
      </c>
      <c r="CX58" s="979"/>
      <c r="CY58" s="941"/>
      <c r="CZ58" s="857"/>
      <c r="DA58" s="977"/>
      <c r="DB58" s="482" t="s">
        <v>4</v>
      </c>
      <c r="DC58" s="855">
        <v>37.442440000000005</v>
      </c>
      <c r="DD58" s="978"/>
      <c r="DE58" s="857">
        <v>32.075746666666667</v>
      </c>
      <c r="DF58" s="979"/>
      <c r="DG58" s="941"/>
      <c r="DH58" s="857"/>
      <c r="DI58" s="977"/>
      <c r="DJ58" s="482" t="s">
        <v>4</v>
      </c>
      <c r="DK58" s="855">
        <v>6.8628</v>
      </c>
      <c r="DL58" s="978"/>
      <c r="DM58" s="857">
        <v>38.938546666666667</v>
      </c>
      <c r="DN58" s="979"/>
      <c r="DO58" s="941"/>
      <c r="DP58" s="857"/>
      <c r="DQ58" s="977"/>
      <c r="DR58" s="482" t="s">
        <v>4</v>
      </c>
      <c r="DS58" s="855">
        <v>0</v>
      </c>
      <c r="DT58" s="978"/>
      <c r="DU58" s="857">
        <v>38.938546666666667</v>
      </c>
      <c r="DV58" s="979"/>
      <c r="DW58" s="941"/>
      <c r="DX58" s="857"/>
      <c r="DY58" s="977"/>
      <c r="DZ58" s="482" t="s">
        <v>4</v>
      </c>
      <c r="EA58" s="855">
        <v>0</v>
      </c>
      <c r="EB58" s="978"/>
      <c r="EC58" s="281">
        <v>38.938546666666667</v>
      </c>
      <c r="ED58" s="479"/>
      <c r="EE58" s="1241"/>
      <c r="EF58" s="857"/>
      <c r="EG58" s="839"/>
      <c r="EH58" s="482" t="s">
        <v>4</v>
      </c>
      <c r="EI58" s="481">
        <v>6.8628</v>
      </c>
      <c r="EJ58" s="978"/>
      <c r="EK58" s="281">
        <v>38.938546666666667</v>
      </c>
      <c r="EL58" s="479"/>
      <c r="EM58" s="1241"/>
      <c r="EN58" s="857"/>
      <c r="EO58" s="839"/>
      <c r="EP58" s="482" t="s">
        <v>4</v>
      </c>
      <c r="EQ58" s="481">
        <v>16.018799999999999</v>
      </c>
      <c r="ER58" s="978"/>
      <c r="ES58" s="281">
        <v>38.938546666666667</v>
      </c>
      <c r="ET58" s="479"/>
      <c r="EU58" s="1241"/>
      <c r="EV58" s="857"/>
      <c r="EW58" s="839"/>
      <c r="EX58" s="482" t="s">
        <v>4</v>
      </c>
      <c r="EY58" s="481">
        <v>44.305239999999998</v>
      </c>
      <c r="EZ58" s="840"/>
      <c r="FA58" s="842">
        <v>38.938546666666667</v>
      </c>
      <c r="FB58" s="841"/>
    </row>
    <row r="59" spans="1:158" ht="16.5" hidden="1" thickTop="1" thickBot="1">
      <c r="D59" s="967" t="s">
        <v>729</v>
      </c>
      <c r="F59" s="326"/>
      <c r="G59" s="326"/>
      <c r="H59" s="326"/>
      <c r="I59" s="326"/>
      <c r="J59" s="326"/>
      <c r="K59" s="957">
        <v>246.964</v>
      </c>
      <c r="L59" s="958"/>
      <c r="M59" s="959"/>
      <c r="N59" s="959"/>
      <c r="O59" s="959"/>
      <c r="P59" s="960"/>
      <c r="Q59" s="961" t="s">
        <v>4</v>
      </c>
      <c r="R59" s="957">
        <v>14.04318941925926</v>
      </c>
      <c r="S59" s="960"/>
      <c r="T59" s="960"/>
      <c r="U59" s="961"/>
      <c r="V59" s="957">
        <v>20.237253944444443</v>
      </c>
      <c r="W59" s="959"/>
      <c r="X59" s="959"/>
      <c r="Y59" s="962"/>
      <c r="Z59" s="957">
        <v>22.499614962962966</v>
      </c>
      <c r="AA59" s="959"/>
      <c r="AB59" s="959"/>
      <c r="AC59" s="962"/>
      <c r="AD59" s="957"/>
      <c r="AE59" s="959"/>
      <c r="AF59" s="961"/>
      <c r="AG59" s="959"/>
      <c r="AH59" s="962" t="s">
        <v>4</v>
      </c>
      <c r="AI59" s="957">
        <v>32.198599999999999</v>
      </c>
      <c r="AJ59" s="962"/>
      <c r="AK59" s="957">
        <v>52.099552775555551</v>
      </c>
      <c r="AL59" s="959"/>
      <c r="AM59" s="959"/>
      <c r="AN59" s="961"/>
      <c r="AO59" s="959"/>
      <c r="AP59" s="962" t="s">
        <v>4</v>
      </c>
      <c r="AQ59" s="957">
        <v>33.513000000000005</v>
      </c>
      <c r="AR59" s="962"/>
      <c r="AS59" s="957">
        <v>85.612552775555557</v>
      </c>
      <c r="AT59" s="959"/>
      <c r="AU59" s="959"/>
      <c r="AV59" s="961"/>
      <c r="AW59" s="959"/>
      <c r="AX59" s="962" t="s">
        <v>4</v>
      </c>
      <c r="AY59" s="957">
        <v>34.776587116402112</v>
      </c>
      <c r="AZ59" s="962"/>
      <c r="BA59" s="957">
        <v>120.38913989195767</v>
      </c>
      <c r="BB59" s="959"/>
      <c r="BC59" s="959"/>
      <c r="BD59" s="961"/>
      <c r="BE59" s="959"/>
      <c r="BF59" s="962" t="s">
        <v>4</v>
      </c>
      <c r="BG59" s="963">
        <v>100.48818711640213</v>
      </c>
      <c r="BH59" s="962"/>
      <c r="BI59" s="957">
        <v>120.38913989195767</v>
      </c>
      <c r="BJ59" s="959"/>
      <c r="BK59" s="959"/>
      <c r="BL59" s="961"/>
      <c r="BM59" s="959"/>
      <c r="BN59" s="962" t="s">
        <v>4</v>
      </c>
      <c r="BO59" s="963">
        <v>157.26824544306876</v>
      </c>
      <c r="BP59" s="962"/>
      <c r="BQ59" s="957">
        <v>120.38913989195767</v>
      </c>
      <c r="BR59" s="959"/>
      <c r="BS59" s="959"/>
      <c r="BT59" s="961"/>
      <c r="BU59" s="959"/>
      <c r="BV59" s="962" t="s">
        <v>4</v>
      </c>
      <c r="BW59" s="963">
        <v>3.738553333333333</v>
      </c>
      <c r="BX59" s="962"/>
      <c r="BY59" s="957">
        <v>124.12769322529101</v>
      </c>
      <c r="BZ59" s="959"/>
      <c r="CA59" s="959"/>
      <c r="CB59" s="961"/>
      <c r="CC59" s="959"/>
      <c r="CD59" s="962" t="s">
        <v>4</v>
      </c>
      <c r="CE59" s="963">
        <v>9.7525000000000013</v>
      </c>
      <c r="CF59" s="962"/>
      <c r="CG59" s="957">
        <v>133.88019322529101</v>
      </c>
      <c r="CH59" s="959"/>
      <c r="CI59" s="959"/>
      <c r="CJ59" s="961"/>
      <c r="CK59" s="959"/>
      <c r="CL59" s="962" t="s">
        <v>4</v>
      </c>
      <c r="CM59" s="963">
        <v>17.296324074074075</v>
      </c>
      <c r="CN59" s="962"/>
      <c r="CO59" s="957">
        <v>151.17651729936509</v>
      </c>
      <c r="CP59" s="959"/>
      <c r="CQ59" s="959"/>
      <c r="CR59" s="961"/>
      <c r="CS59" s="959"/>
      <c r="CT59" s="962" t="s">
        <v>4</v>
      </c>
      <c r="CU59" s="963">
        <v>30.787377407407408</v>
      </c>
      <c r="CV59" s="962"/>
      <c r="CW59" s="957">
        <v>151.17651729936509</v>
      </c>
      <c r="CX59" s="959"/>
      <c r="CY59" s="959"/>
      <c r="CZ59" s="961"/>
      <c r="DA59" s="959"/>
      <c r="DB59" s="962" t="s">
        <v>4</v>
      </c>
      <c r="DC59" s="963">
        <v>188.0556228504762</v>
      </c>
      <c r="DD59" s="962"/>
      <c r="DE59" s="957">
        <v>151.17651729936509</v>
      </c>
      <c r="DF59" s="959"/>
      <c r="DG59" s="959"/>
      <c r="DH59" s="961"/>
      <c r="DI59" s="959"/>
      <c r="DJ59" s="962" t="s">
        <v>4</v>
      </c>
      <c r="DK59" s="963">
        <v>21.053763833333335</v>
      </c>
      <c r="DL59" s="962"/>
      <c r="DM59" s="957">
        <v>172.23028113269842</v>
      </c>
      <c r="DN59" s="959"/>
      <c r="DO59" s="959"/>
      <c r="DP59" s="961"/>
      <c r="DQ59" s="959"/>
      <c r="DR59" s="962" t="s">
        <v>4</v>
      </c>
      <c r="DS59" s="963">
        <v>0</v>
      </c>
      <c r="DT59" s="962"/>
      <c r="DU59" s="957">
        <v>172.23028113269842</v>
      </c>
      <c r="DV59" s="959"/>
      <c r="DW59" s="959"/>
      <c r="DX59" s="961"/>
      <c r="DY59" s="959"/>
      <c r="DZ59" s="962" t="s">
        <v>4</v>
      </c>
      <c r="EA59" s="963">
        <v>0</v>
      </c>
      <c r="EB59" s="329"/>
      <c r="EC59" s="330">
        <v>172.23028113269842</v>
      </c>
      <c r="ED59" s="325"/>
      <c r="EE59" s="325"/>
      <c r="EF59" s="327"/>
      <c r="EG59" s="325"/>
      <c r="EH59" s="329" t="s">
        <v>4</v>
      </c>
      <c r="EI59" s="836">
        <v>21.053763833333335</v>
      </c>
      <c r="EJ59" s="329"/>
      <c r="EK59" s="330">
        <v>172.23028113269842</v>
      </c>
      <c r="EL59" s="325"/>
      <c r="EM59" s="325"/>
      <c r="EN59" s="327"/>
      <c r="EO59" s="325"/>
      <c r="EP59" s="329" t="s">
        <v>4</v>
      </c>
      <c r="EQ59" s="836">
        <v>51.84114124074074</v>
      </c>
      <c r="ER59" s="329"/>
      <c r="ES59" s="330">
        <v>172.23028113269842</v>
      </c>
      <c r="ET59" s="325"/>
      <c r="EU59" s="325"/>
      <c r="EV59" s="327"/>
      <c r="EW59" s="325"/>
      <c r="EX59" s="329" t="s">
        <v>4</v>
      </c>
      <c r="EY59" s="836">
        <v>209.10938668380953</v>
      </c>
      <c r="EZ59" s="329"/>
      <c r="FA59" s="328">
        <v>172.23028113269842</v>
      </c>
      <c r="FB59" s="325"/>
    </row>
    <row r="60" spans="1:158" ht="15.75" thickTop="1"/>
    <row r="61" spans="1:158" hidden="1">
      <c r="D61" s="955" t="s">
        <v>782</v>
      </c>
      <c r="K61" s="964">
        <v>271.67701886792452</v>
      </c>
      <c r="L61" s="964"/>
      <c r="M61" s="964"/>
      <c r="N61" s="964"/>
      <c r="O61" s="964"/>
      <c r="P61" s="964"/>
      <c r="Q61" s="964" t="s">
        <v>4</v>
      </c>
      <c r="R61" s="964">
        <v>14.325881934982528</v>
      </c>
      <c r="S61" s="964"/>
      <c r="T61" s="964"/>
      <c r="U61" s="964"/>
      <c r="V61" s="964">
        <v>22.411647969601677</v>
      </c>
      <c r="W61" s="964"/>
      <c r="X61" s="964"/>
      <c r="Y61" s="964"/>
      <c r="Z61" s="964">
        <v>25.102307478686232</v>
      </c>
      <c r="AA61" s="964"/>
      <c r="AB61" s="964"/>
      <c r="AC61" s="964"/>
      <c r="AD61" s="964"/>
      <c r="AE61" s="964"/>
      <c r="AF61" s="964"/>
      <c r="AG61" s="964"/>
      <c r="AH61" s="964" t="s">
        <v>4</v>
      </c>
      <c r="AI61" s="964">
        <v>31.666996226415094</v>
      </c>
      <c r="AJ61" s="964"/>
      <c r="AK61" s="964">
        <v>52.571208687505248</v>
      </c>
      <c r="AL61" s="964"/>
      <c r="AM61" s="964"/>
      <c r="AN61" s="964"/>
      <c r="AO61" s="964"/>
      <c r="AP61" s="964" t="s">
        <v>4</v>
      </c>
      <c r="AQ61" s="964">
        <v>23.142088050314467</v>
      </c>
      <c r="AR61" s="964"/>
      <c r="AS61" s="964">
        <v>75.713296737819704</v>
      </c>
      <c r="AT61" s="964"/>
      <c r="AU61" s="964"/>
      <c r="AV61" s="964"/>
      <c r="AW61" s="964"/>
      <c r="AX61" s="964" t="s">
        <v>4</v>
      </c>
      <c r="AY61" s="964">
        <v>19.861725481181988</v>
      </c>
      <c r="AZ61" s="964"/>
      <c r="BA61" s="964">
        <v>95.575022219001696</v>
      </c>
      <c r="BB61" s="964"/>
      <c r="BC61" s="964"/>
      <c r="BD61" s="964"/>
      <c r="BE61" s="964"/>
      <c r="BF61" s="964" t="s">
        <v>4</v>
      </c>
      <c r="BG61" s="964">
        <v>74.670809757911542</v>
      </c>
      <c r="BH61" s="964"/>
      <c r="BI61" s="964">
        <v>95.575022219001696</v>
      </c>
      <c r="BJ61" s="964"/>
      <c r="BK61" s="964"/>
      <c r="BL61" s="964"/>
      <c r="BM61" s="964"/>
      <c r="BN61" s="964" t="s">
        <v>4</v>
      </c>
      <c r="BO61" s="964">
        <v>136.51064714118198</v>
      </c>
      <c r="BP61" s="964"/>
      <c r="BQ61" s="964">
        <v>95.575022219001696</v>
      </c>
      <c r="BR61" s="964"/>
      <c r="BS61" s="964"/>
      <c r="BT61" s="964"/>
      <c r="BU61" s="964"/>
      <c r="BV61" s="964" t="s">
        <v>4</v>
      </c>
      <c r="BW61" s="964">
        <v>18.561725481181988</v>
      </c>
      <c r="BX61" s="964"/>
      <c r="BY61" s="964">
        <v>114.13674770018368</v>
      </c>
      <c r="BZ61" s="964"/>
      <c r="CA61" s="964"/>
      <c r="CB61" s="964"/>
      <c r="CC61" s="964"/>
      <c r="CD61" s="964" t="s">
        <v>4</v>
      </c>
      <c r="CE61" s="964">
        <v>0</v>
      </c>
      <c r="CF61" s="964"/>
      <c r="CG61" s="964">
        <v>114.13674770018368</v>
      </c>
      <c r="CH61" s="964"/>
      <c r="CI61" s="964"/>
      <c r="CJ61" s="964"/>
      <c r="CK61" s="964"/>
      <c r="CL61" s="964" t="s">
        <v>4</v>
      </c>
      <c r="CM61" s="964">
        <v>0</v>
      </c>
      <c r="CN61" s="964"/>
      <c r="CO61" s="964">
        <v>114.13674770018368</v>
      </c>
      <c r="CP61" s="964"/>
      <c r="CQ61" s="964"/>
      <c r="CR61" s="964"/>
      <c r="CS61" s="964"/>
      <c r="CT61" s="964" t="s">
        <v>4</v>
      </c>
      <c r="CU61" s="964">
        <v>18.561725481181988</v>
      </c>
      <c r="CV61" s="964"/>
      <c r="CW61" s="964">
        <v>114.13674770018368</v>
      </c>
      <c r="CX61" s="964"/>
      <c r="CY61" s="964"/>
      <c r="CZ61" s="964"/>
      <c r="DA61" s="964"/>
      <c r="DB61" s="964" t="s">
        <v>4</v>
      </c>
      <c r="DC61" s="964">
        <v>155.07237262236396</v>
      </c>
      <c r="DD61" s="964"/>
      <c r="DE61" s="964">
        <v>114.13674770018368</v>
      </c>
      <c r="DF61" s="964"/>
      <c r="DG61" s="964"/>
      <c r="DH61" s="964"/>
      <c r="DI61" s="964"/>
      <c r="DJ61" s="964" t="s">
        <v>4</v>
      </c>
      <c r="DK61" s="964">
        <v>0</v>
      </c>
      <c r="DL61" s="964"/>
      <c r="DM61" s="964">
        <v>114.13674770018368</v>
      </c>
      <c r="DN61" s="964"/>
      <c r="DO61" s="964"/>
      <c r="DP61" s="964"/>
      <c r="DQ61" s="964"/>
      <c r="DR61" s="964" t="s">
        <v>4</v>
      </c>
      <c r="DS61" s="964">
        <v>0</v>
      </c>
      <c r="DT61" s="964"/>
      <c r="DU61" s="964">
        <v>114.13674770018368</v>
      </c>
      <c r="DV61" s="964"/>
      <c r="DW61" s="964"/>
      <c r="DX61" s="964"/>
      <c r="DY61" s="964"/>
      <c r="DZ61" s="964" t="s">
        <v>4</v>
      </c>
      <c r="EA61" s="964">
        <v>0</v>
      </c>
    </row>
    <row r="62" spans="1:158" hidden="1">
      <c r="D62" s="955" t="s">
        <v>783</v>
      </c>
      <c r="K62" s="965">
        <v>-24.713018867924518</v>
      </c>
      <c r="R62" s="965">
        <v>-0.28269251572326759</v>
      </c>
      <c r="V62" s="965">
        <v>-2.174394025157234</v>
      </c>
      <c r="Z62" s="965">
        <v>-2.6026925157232661</v>
      </c>
      <c r="AI62" s="965">
        <v>0.53160377358490507</v>
      </c>
      <c r="AQ62" s="965">
        <v>10.370911949685539</v>
      </c>
      <c r="AY62" s="965">
        <v>14.914861635220124</v>
      </c>
      <c r="BW62" s="965">
        <v>-14.823172147848656</v>
      </c>
      <c r="CE62" s="965">
        <v>9.7525000000000013</v>
      </c>
      <c r="CM62" s="965">
        <v>17.296324074074075</v>
      </c>
      <c r="DK62" s="965">
        <v>21.053763833333335</v>
      </c>
      <c r="DS62" s="965">
        <v>0</v>
      </c>
      <c r="EA62" s="965">
        <v>0</v>
      </c>
    </row>
    <row r="63" spans="1:158" hidden="1"/>
  </sheetData>
  <sheetProtection password="E86C" sheet="1" objects="1" scenarios="1"/>
  <mergeCells count="174">
    <mergeCell ref="EV5:FB5"/>
    <mergeCell ref="EV6:EV7"/>
    <mergeCell ref="EW6:EW7"/>
    <mergeCell ref="EX6:EX7"/>
    <mergeCell ref="EY6:EY7"/>
    <mergeCell ref="EZ6:EZ7"/>
    <mergeCell ref="FA6:FA7"/>
    <mergeCell ref="FB6:FB7"/>
    <mergeCell ref="EN5:ET5"/>
    <mergeCell ref="EN6:EN7"/>
    <mergeCell ref="EO6:EO7"/>
    <mergeCell ref="EP6:EP7"/>
    <mergeCell ref="EQ6:EQ7"/>
    <mergeCell ref="ER6:ER7"/>
    <mergeCell ref="ES6:ES7"/>
    <mergeCell ref="ET6:ET7"/>
    <mergeCell ref="EK6:EK7"/>
    <mergeCell ref="EL6:EL7"/>
    <mergeCell ref="DX5:ED5"/>
    <mergeCell ref="DX6:DX7"/>
    <mergeCell ref="DY6:DY7"/>
    <mergeCell ref="DZ6:DZ7"/>
    <mergeCell ref="EA6:EA7"/>
    <mergeCell ref="EB6:EB7"/>
    <mergeCell ref="EC6:EC7"/>
    <mergeCell ref="ED6:ED7"/>
    <mergeCell ref="EF5:EL5"/>
    <mergeCell ref="EF6:EF7"/>
    <mergeCell ref="EG6:EG7"/>
    <mergeCell ref="EH6:EH7"/>
    <mergeCell ref="EI6:EI7"/>
    <mergeCell ref="EJ6:EJ7"/>
    <mergeCell ref="DP5:DV5"/>
    <mergeCell ref="DP6:DP7"/>
    <mergeCell ref="DQ6:DQ7"/>
    <mergeCell ref="DR6:DR7"/>
    <mergeCell ref="DS6:DS7"/>
    <mergeCell ref="DT6:DT7"/>
    <mergeCell ref="DU6:DU7"/>
    <mergeCell ref="DV6:DV7"/>
    <mergeCell ref="DH5:DN5"/>
    <mergeCell ref="DH6:DH7"/>
    <mergeCell ref="DI6:DI7"/>
    <mergeCell ref="DJ6:DJ7"/>
    <mergeCell ref="DK6:DK7"/>
    <mergeCell ref="DL6:DL7"/>
    <mergeCell ref="DM6:DM7"/>
    <mergeCell ref="DN6:DN7"/>
    <mergeCell ref="CZ5:DF5"/>
    <mergeCell ref="CZ6:CZ7"/>
    <mergeCell ref="DA6:DA7"/>
    <mergeCell ref="DB6:DB7"/>
    <mergeCell ref="DC6:DC7"/>
    <mergeCell ref="DD6:DD7"/>
    <mergeCell ref="DE6:DE7"/>
    <mergeCell ref="DF6:DF7"/>
    <mergeCell ref="CR5:CX5"/>
    <mergeCell ref="CR6:CR7"/>
    <mergeCell ref="CS6:CS7"/>
    <mergeCell ref="CT6:CT7"/>
    <mergeCell ref="CU6:CU7"/>
    <mergeCell ref="CV6:CV7"/>
    <mergeCell ref="CW6:CW7"/>
    <mergeCell ref="CX6:CX7"/>
    <mergeCell ref="CJ5:CP5"/>
    <mergeCell ref="CJ6:CJ7"/>
    <mergeCell ref="CK6:CK7"/>
    <mergeCell ref="CL6:CL7"/>
    <mergeCell ref="CM6:CM7"/>
    <mergeCell ref="CN6:CN7"/>
    <mergeCell ref="CO6:CO7"/>
    <mergeCell ref="CP6:CP7"/>
    <mergeCell ref="CB5:CH5"/>
    <mergeCell ref="CB6:CB7"/>
    <mergeCell ref="CC6:CC7"/>
    <mergeCell ref="CD6:CD7"/>
    <mergeCell ref="CE6:CE7"/>
    <mergeCell ref="CF6:CF7"/>
    <mergeCell ref="CG6:CG7"/>
    <mergeCell ref="CH6:CH7"/>
    <mergeCell ref="BT5:BZ5"/>
    <mergeCell ref="BT6:BT7"/>
    <mergeCell ref="BU6:BU7"/>
    <mergeCell ref="BV6:BV7"/>
    <mergeCell ref="BW6:BW7"/>
    <mergeCell ref="BX6:BX7"/>
    <mergeCell ref="BY6:BY7"/>
    <mergeCell ref="BZ6:BZ7"/>
    <mergeCell ref="BL5:BR5"/>
    <mergeCell ref="BL6:BL7"/>
    <mergeCell ref="BM6:BM7"/>
    <mergeCell ref="BN6:BN7"/>
    <mergeCell ref="BO6:BO7"/>
    <mergeCell ref="BP6:BP7"/>
    <mergeCell ref="BQ6:BQ7"/>
    <mergeCell ref="BR6:BR7"/>
    <mergeCell ref="AC6:AC7"/>
    <mergeCell ref="AD6:AD7"/>
    <mergeCell ref="AF6:AF7"/>
    <mergeCell ref="I6:I7"/>
    <mergeCell ref="I5:K5"/>
    <mergeCell ref="M5:N5"/>
    <mergeCell ref="BD5:BJ5"/>
    <mergeCell ref="BD6:BD7"/>
    <mergeCell ref="BE6:BE7"/>
    <mergeCell ref="BF6:BF7"/>
    <mergeCell ref="BG6:BG7"/>
    <mergeCell ref="BH6:BH7"/>
    <mergeCell ref="BI6:BI7"/>
    <mergeCell ref="BJ6:BJ7"/>
    <mergeCell ref="AV5:BB5"/>
    <mergeCell ref="AV6:AV7"/>
    <mergeCell ref="AW6:AW7"/>
    <mergeCell ref="AX6:AX7"/>
    <mergeCell ref="AY6:AY7"/>
    <mergeCell ref="AZ6:AZ7"/>
    <mergeCell ref="BA6:BA7"/>
    <mergeCell ref="BB6:BB7"/>
    <mergeCell ref="X5:Z5"/>
    <mergeCell ref="X6:X7"/>
    <mergeCell ref="B9:B15"/>
    <mergeCell ref="C9:C15"/>
    <mergeCell ref="B23:B29"/>
    <mergeCell ref="C23:C29"/>
    <mergeCell ref="B16:B22"/>
    <mergeCell ref="C16:C22"/>
    <mergeCell ref="AN5:AT5"/>
    <mergeCell ref="AN6:AN7"/>
    <mergeCell ref="AO6:AO7"/>
    <mergeCell ref="AP6:AP7"/>
    <mergeCell ref="AQ6:AQ7"/>
    <mergeCell ref="AR6:AR7"/>
    <mergeCell ref="AS6:AS7"/>
    <mergeCell ref="AT6:AT7"/>
    <mergeCell ref="G5:G7"/>
    <mergeCell ref="AH6:AH7"/>
    <mergeCell ref="AK6:AK7"/>
    <mergeCell ref="AG6:AG7"/>
    <mergeCell ref="AF5:AL5"/>
    <mergeCell ref="AL6:AL7"/>
    <mergeCell ref="AJ6:AJ7"/>
    <mergeCell ref="AI6:AI7"/>
    <mergeCell ref="AB5:AD5"/>
    <mergeCell ref="AB6:AB7"/>
    <mergeCell ref="B53:B58"/>
    <mergeCell ref="C53:C58"/>
    <mergeCell ref="B48:B52"/>
    <mergeCell ref="C48:C52"/>
    <mergeCell ref="B37:B42"/>
    <mergeCell ref="C37:C42"/>
    <mergeCell ref="B43:B47"/>
    <mergeCell ref="C43:C47"/>
    <mergeCell ref="B30:B36"/>
    <mergeCell ref="C30:C36"/>
    <mergeCell ref="Z6:Z7"/>
    <mergeCell ref="T6:T7"/>
    <mergeCell ref="U6:U7"/>
    <mergeCell ref="V6:V7"/>
    <mergeCell ref="P5:R5"/>
    <mergeCell ref="T5:V5"/>
    <mergeCell ref="P6:P7"/>
    <mergeCell ref="Q6:Q7"/>
    <mergeCell ref="R6:R7"/>
    <mergeCell ref="J6:K6"/>
    <mergeCell ref="M6:M7"/>
    <mergeCell ref="N6:N7"/>
    <mergeCell ref="F5:F7"/>
    <mergeCell ref="E5:E7"/>
    <mergeCell ref="D5:D7"/>
    <mergeCell ref="B5:C7"/>
    <mergeCell ref="A1:N1"/>
    <mergeCell ref="Y6:Y7"/>
    <mergeCell ref="B2:N2"/>
    <mergeCell ref="B3:N3"/>
  </mergeCells>
  <printOptions headings="1"/>
  <pageMargins left="0" right="0" top="0.75" bottom="0" header="1.05" footer="1.05"/>
  <pageSetup paperSize="9" scale="65" orientation="landscape" r:id="rId1"/>
  <headerFooter>
    <oddHeader>&amp;LCFAVC's Output 1 Physical Progress 2021&amp;CDetails PHYSICAL PROGRESS 
OUTPUT 1&amp;RAnnex 1.4</oddHeader>
    <oddFooter>&amp;LAESA &amp; SBK</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pageSetUpPr fitToPage="1"/>
  </sheetPr>
  <dimension ref="B1:FC69"/>
  <sheetViews>
    <sheetView view="pageBreakPreview" zoomScale="70" zoomScaleNormal="70" zoomScaleSheetLayoutView="70" workbookViewId="0">
      <pane xSplit="9" ySplit="8" topLeftCell="J9" activePane="bottomRight" state="frozen"/>
      <selection pane="topRight" activeCell="J1" sqref="J1"/>
      <selection pane="bottomLeft" activeCell="A9" sqref="A9"/>
      <selection pane="bottomRight" activeCell="D16" sqref="D16"/>
    </sheetView>
  </sheetViews>
  <sheetFormatPr defaultColWidth="9.140625" defaultRowHeight="15"/>
  <cols>
    <col min="1" max="1" width="1.42578125" style="166" customWidth="1"/>
    <col min="2" max="2" width="7.42578125" style="166" customWidth="1"/>
    <col min="3" max="3" width="28" style="1016" customWidth="1"/>
    <col min="4" max="4" width="48.140625" style="166" customWidth="1"/>
    <col min="5" max="5" width="9.28515625" style="166" customWidth="1"/>
    <col min="6" max="6" width="9.140625" style="166"/>
    <col min="7" max="7" width="9.140625" style="166" customWidth="1"/>
    <col min="8" max="8" width="0.85546875" style="166" hidden="1" customWidth="1"/>
    <col min="9" max="9" width="10" style="166" hidden="1" customWidth="1"/>
    <col min="10" max="10" width="9.28515625" style="166" customWidth="1"/>
    <col min="11" max="11" width="8.7109375" style="166" customWidth="1"/>
    <col min="12" max="12" width="10.7109375" style="166" customWidth="1"/>
    <col min="13" max="13" width="0.85546875" style="166" hidden="1" customWidth="1"/>
    <col min="14" max="14" width="10.28515625" style="172" customWidth="1"/>
    <col min="15" max="15" width="12.85546875" style="172" customWidth="1"/>
    <col min="16" max="16" width="0.85546875" style="166" hidden="1" customWidth="1"/>
    <col min="17" max="17" width="11" style="166" customWidth="1"/>
    <col min="18" max="18" width="10.140625" style="166" customWidth="1"/>
    <col min="19" max="19" width="11.140625" style="166" customWidth="1"/>
    <col min="20" max="20" width="0.85546875" style="166" hidden="1" customWidth="1"/>
    <col min="21" max="21" width="11" style="166" customWidth="1"/>
    <col min="22" max="22" width="10.7109375" style="166" customWidth="1"/>
    <col min="23" max="23" width="10.28515625" style="166" customWidth="1"/>
    <col min="24" max="24" width="0.85546875" style="166" hidden="1" customWidth="1"/>
    <col min="25" max="25" width="10.7109375" style="166" customWidth="1"/>
    <col min="26" max="26" width="10.28515625" style="166" customWidth="1"/>
    <col min="27" max="27" width="11.28515625" style="166" customWidth="1"/>
    <col min="28" max="28" width="0.85546875" style="166" hidden="1" customWidth="1"/>
    <col min="29" max="30" width="10.7109375" style="166" customWidth="1"/>
    <col min="31" max="31" width="11.28515625" style="166" customWidth="1"/>
    <col min="32" max="32" width="0.85546875" style="166" hidden="1" customWidth="1"/>
    <col min="33" max="33" width="10" style="166" customWidth="1"/>
    <col min="34" max="34" width="10.28515625" style="166" customWidth="1"/>
    <col min="35" max="35" width="11.140625" style="166" customWidth="1"/>
    <col min="36" max="36" width="10.140625" style="166" customWidth="1"/>
    <col min="37" max="37" width="12.140625" style="166" hidden="1" customWidth="1"/>
    <col min="38" max="38" width="13.7109375" style="166" hidden="1" customWidth="1"/>
    <col min="39" max="39" width="11.42578125" style="166" hidden="1" customWidth="1"/>
    <col min="40" max="40" width="0.85546875" style="166" hidden="1" customWidth="1"/>
    <col min="41" max="41" width="10.28515625" style="166" customWidth="1"/>
    <col min="42" max="42" width="10.42578125" style="166" customWidth="1"/>
    <col min="43" max="43" width="10.28515625" style="166" customWidth="1"/>
    <col min="44" max="44" width="11.28515625" style="166" customWidth="1"/>
    <col min="45" max="47" width="13.28515625" style="166" hidden="1" customWidth="1"/>
    <col min="48" max="48" width="0.85546875" style="166" hidden="1" customWidth="1"/>
    <col min="49" max="49" width="10.7109375" style="166" customWidth="1"/>
    <col min="50" max="50" width="8.7109375" style="166" customWidth="1"/>
    <col min="51" max="51" width="10.5703125" style="166" customWidth="1"/>
    <col min="52" max="52" width="10.85546875" style="166" customWidth="1"/>
    <col min="53" max="55" width="13.28515625" style="166" hidden="1" customWidth="1"/>
    <col min="56" max="56" width="0.85546875" style="166" hidden="1" customWidth="1"/>
    <col min="57" max="57" width="9.5703125" style="166" customWidth="1"/>
    <col min="58" max="58" width="10.42578125" style="166" customWidth="1"/>
    <col min="59" max="59" width="11.5703125" style="166" customWidth="1"/>
    <col min="60" max="60" width="11.42578125" style="166" customWidth="1"/>
    <col min="61" max="63" width="13.28515625" style="166" hidden="1" customWidth="1"/>
    <col min="64" max="64" width="0.85546875" style="166" hidden="1" customWidth="1"/>
    <col min="65" max="65" width="10.28515625" style="166" customWidth="1"/>
    <col min="66" max="66" width="8.7109375" style="166" customWidth="1"/>
    <col min="67" max="67" width="11.140625" style="166" customWidth="1"/>
    <col min="68" max="68" width="11.85546875" style="166" customWidth="1"/>
    <col min="69" max="71" width="13.28515625" style="166" hidden="1" customWidth="1"/>
    <col min="72" max="72" width="0.85546875" style="166" hidden="1" customWidth="1"/>
    <col min="73" max="73" width="9.7109375" style="166" customWidth="1"/>
    <col min="74" max="74" width="8.7109375" style="166" customWidth="1"/>
    <col min="75" max="75" width="10.28515625" style="166" customWidth="1"/>
    <col min="76" max="76" width="11.28515625" style="166" customWidth="1"/>
    <col min="77" max="79" width="13.28515625" style="166" hidden="1" customWidth="1"/>
    <col min="80" max="80" width="0.85546875" style="166" hidden="1" customWidth="1"/>
    <col min="81" max="81" width="10.140625" style="166" customWidth="1"/>
    <col min="82" max="82" width="8.7109375" style="166" customWidth="1"/>
    <col min="83" max="83" width="10.5703125" style="166" customWidth="1"/>
    <col min="84" max="84" width="10.85546875" style="166" customWidth="1"/>
    <col min="85" max="87" width="13.28515625" style="166" hidden="1" customWidth="1"/>
    <col min="88" max="88" width="0.85546875" style="166" hidden="1" customWidth="1"/>
    <col min="89" max="89" width="9.5703125" style="166" customWidth="1"/>
    <col min="90" max="90" width="8.7109375" style="166" customWidth="1"/>
    <col min="91" max="91" width="11.7109375" style="166" customWidth="1"/>
    <col min="92" max="92" width="12.28515625" style="166" customWidth="1"/>
    <col min="93" max="95" width="13.28515625" style="166" hidden="1" customWidth="1"/>
    <col min="96" max="96" width="0.85546875" style="166" hidden="1" customWidth="1"/>
    <col min="97" max="97" width="11" style="166" customWidth="1"/>
    <col min="98" max="98" width="8.7109375" style="166" customWidth="1"/>
    <col min="99" max="99" width="11.140625" style="166" customWidth="1"/>
    <col min="100" max="100" width="11.42578125" style="166" customWidth="1"/>
    <col min="101" max="103" width="13.28515625" style="166" hidden="1" customWidth="1"/>
    <col min="104" max="104" width="0.85546875" style="166" hidden="1" customWidth="1"/>
    <col min="105" max="105" width="10.7109375" style="166" customWidth="1"/>
    <col min="106" max="106" width="8.7109375" style="166" customWidth="1"/>
    <col min="107" max="107" width="10.28515625" style="166" customWidth="1"/>
    <col min="108" max="108" width="12.140625" style="166" customWidth="1"/>
    <col min="109" max="111" width="13.28515625" style="166" hidden="1" customWidth="1"/>
    <col min="112" max="112" width="0.85546875" style="166" hidden="1" customWidth="1"/>
    <col min="113" max="113" width="9.7109375" style="166" customWidth="1"/>
    <col min="114" max="114" width="8.7109375" style="166" customWidth="1"/>
    <col min="115" max="115" width="12.42578125" style="166" customWidth="1"/>
    <col min="116" max="116" width="10.28515625" style="166" customWidth="1"/>
    <col min="117" max="119" width="13.28515625" style="166" hidden="1" customWidth="1"/>
    <col min="120" max="120" width="0.85546875" style="166" hidden="1" customWidth="1"/>
    <col min="121" max="121" width="10.140625" style="166" customWidth="1"/>
    <col min="122" max="122" width="8.7109375" style="166" customWidth="1"/>
    <col min="123" max="124" width="11" style="166" customWidth="1"/>
    <col min="125" max="127" width="13.28515625" style="166" hidden="1" customWidth="1"/>
    <col min="128" max="128" width="0.85546875" style="166" hidden="1" customWidth="1"/>
    <col min="129" max="129" width="9.7109375" style="166" customWidth="1"/>
    <col min="130" max="130" width="8.7109375" style="166" customWidth="1"/>
    <col min="131" max="132" width="11.140625" style="166" customWidth="1"/>
    <col min="133" max="135" width="13.28515625" style="166" hidden="1" customWidth="1"/>
    <col min="136" max="136" width="0.85546875" style="166" hidden="1" customWidth="1"/>
    <col min="137" max="137" width="11" style="166" customWidth="1"/>
    <col min="138" max="138" width="8.7109375" style="166" customWidth="1"/>
    <col min="139" max="139" width="10.7109375" style="166" customWidth="1"/>
    <col min="140" max="140" width="12.140625" style="166" customWidth="1"/>
    <col min="141" max="143" width="13.28515625" style="166" hidden="1" customWidth="1"/>
    <col min="144" max="144" width="0.85546875" style="166" hidden="1" customWidth="1"/>
    <col min="145" max="145" width="10.140625" style="166" customWidth="1"/>
    <col min="146" max="146" width="8.7109375" style="166" customWidth="1"/>
    <col min="147" max="147" width="11" style="166" customWidth="1"/>
    <col min="148" max="148" width="11.140625" style="166" customWidth="1"/>
    <col min="149" max="151" width="13.28515625" style="166" hidden="1" customWidth="1"/>
    <col min="152" max="152" width="0.85546875" style="166" hidden="1" customWidth="1"/>
    <col min="153" max="154" width="8.7109375" style="166" customWidth="1"/>
    <col min="155" max="155" width="9.7109375" style="166" customWidth="1"/>
    <col min="156" max="156" width="11.42578125" style="166" customWidth="1"/>
    <col min="157" max="159" width="13.28515625" style="166" hidden="1" customWidth="1"/>
    <col min="160" max="160" width="0.85546875" style="166" customWidth="1"/>
    <col min="161" max="16384" width="9.140625" style="166"/>
  </cols>
  <sheetData>
    <row r="1" spans="2:159" ht="23.1" customHeight="1">
      <c r="B1" s="1793" t="s">
        <v>199</v>
      </c>
      <c r="C1" s="1793"/>
      <c r="D1" s="1793"/>
      <c r="E1" s="1793"/>
      <c r="F1" s="1793"/>
      <c r="G1" s="1793"/>
      <c r="H1" s="1793"/>
      <c r="I1" s="1793"/>
      <c r="J1" s="1793"/>
      <c r="K1" s="1793"/>
      <c r="L1" s="1793"/>
      <c r="M1" s="1793"/>
      <c r="N1" s="1793"/>
      <c r="O1" s="179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row>
    <row r="2" spans="2:159" ht="23.1" customHeight="1">
      <c r="B2" s="1794" t="s">
        <v>85</v>
      </c>
      <c r="C2" s="1794"/>
      <c r="D2" s="1794"/>
      <c r="E2" s="1794"/>
      <c r="F2" s="1794"/>
      <c r="G2" s="1794"/>
      <c r="H2" s="1794"/>
      <c r="I2" s="1794"/>
      <c r="J2" s="1794"/>
      <c r="K2" s="1794"/>
      <c r="L2" s="1794"/>
      <c r="M2" s="1794"/>
      <c r="N2" s="1794"/>
      <c r="O2" s="1794"/>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row>
    <row r="3" spans="2:159" ht="23.1" customHeight="1">
      <c r="B3" s="1795" t="s">
        <v>284</v>
      </c>
      <c r="C3" s="1795"/>
      <c r="D3" s="1795"/>
      <c r="E3" s="1795"/>
      <c r="F3" s="1795"/>
      <c r="G3" s="1795"/>
      <c r="H3" s="1795"/>
      <c r="I3" s="1795"/>
      <c r="J3" s="1795"/>
      <c r="K3" s="1795"/>
      <c r="L3" s="1795"/>
      <c r="M3" s="1795"/>
      <c r="N3" s="1795"/>
      <c r="O3" s="1795"/>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row>
    <row r="4" spans="2:159" ht="23.1" customHeight="1" thickBot="1">
      <c r="B4" s="1813" t="s">
        <v>4</v>
      </c>
      <c r="C4" s="1813"/>
      <c r="D4" s="1813"/>
      <c r="E4" s="1813"/>
      <c r="F4" s="1813"/>
      <c r="G4" s="1813"/>
      <c r="H4" s="199"/>
      <c r="I4" s="199"/>
      <c r="J4" s="199"/>
      <c r="K4" s="199"/>
      <c r="L4" s="199"/>
      <c r="M4" s="199"/>
      <c r="N4" s="1813" t="s">
        <v>4</v>
      </c>
      <c r="O4" s="1813"/>
      <c r="P4" s="200"/>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row>
    <row r="5" spans="2:159" ht="17.25" thickTop="1" thickBot="1">
      <c r="B5" s="1801" t="s">
        <v>7</v>
      </c>
      <c r="C5" s="1802"/>
      <c r="D5" s="1798" t="s">
        <v>13</v>
      </c>
      <c r="E5" s="1810" t="s">
        <v>8</v>
      </c>
      <c r="F5" s="1807" t="s">
        <v>43</v>
      </c>
      <c r="G5" s="1807" t="s">
        <v>869</v>
      </c>
      <c r="H5" s="863"/>
      <c r="I5" s="864"/>
      <c r="J5" s="1796" t="s">
        <v>248</v>
      </c>
      <c r="K5" s="1816"/>
      <c r="L5" s="1797"/>
      <c r="M5" s="863"/>
      <c r="N5" s="1796">
        <v>2021</v>
      </c>
      <c r="O5" s="1797"/>
      <c r="P5" s="863"/>
      <c r="Q5" s="1726" t="s">
        <v>255</v>
      </c>
      <c r="R5" s="1727"/>
      <c r="S5" s="1728"/>
      <c r="T5" s="838"/>
      <c r="U5" s="1729" t="s">
        <v>256</v>
      </c>
      <c r="V5" s="1730"/>
      <c r="W5" s="1731"/>
      <c r="X5" s="863"/>
      <c r="Y5" s="1729" t="s">
        <v>268</v>
      </c>
      <c r="Z5" s="1730"/>
      <c r="AA5" s="1731"/>
      <c r="AB5" s="863"/>
      <c r="AC5" s="1757" t="s">
        <v>275</v>
      </c>
      <c r="AD5" s="1758"/>
      <c r="AE5" s="1759"/>
      <c r="AF5" s="837"/>
      <c r="AG5" s="1726" t="s">
        <v>276</v>
      </c>
      <c r="AH5" s="1727"/>
      <c r="AI5" s="1727"/>
      <c r="AJ5" s="1727"/>
      <c r="AK5" s="1727"/>
      <c r="AL5" s="1727"/>
      <c r="AM5" s="1728"/>
      <c r="AN5" s="864"/>
      <c r="AO5" s="1726" t="s">
        <v>302</v>
      </c>
      <c r="AP5" s="1727"/>
      <c r="AQ5" s="1727"/>
      <c r="AR5" s="1727"/>
      <c r="AS5" s="1727"/>
      <c r="AT5" s="1727"/>
      <c r="AU5" s="1728"/>
      <c r="AV5" s="864"/>
      <c r="AW5" s="1726" t="s">
        <v>303</v>
      </c>
      <c r="AX5" s="1727"/>
      <c r="AY5" s="1727"/>
      <c r="AZ5" s="1727"/>
      <c r="BA5" s="1727"/>
      <c r="BB5" s="1727"/>
      <c r="BC5" s="1728"/>
      <c r="BD5" s="864"/>
      <c r="BE5" s="1765" t="s">
        <v>305</v>
      </c>
      <c r="BF5" s="1766"/>
      <c r="BG5" s="1766"/>
      <c r="BH5" s="1766"/>
      <c r="BI5" s="1766"/>
      <c r="BJ5" s="1766"/>
      <c r="BK5" s="1767"/>
      <c r="BL5" s="864"/>
      <c r="BM5" s="1772" t="s">
        <v>306</v>
      </c>
      <c r="BN5" s="1773"/>
      <c r="BO5" s="1773"/>
      <c r="BP5" s="1773"/>
      <c r="BQ5" s="1773"/>
      <c r="BR5" s="1773"/>
      <c r="BS5" s="1774"/>
      <c r="BT5" s="864"/>
      <c r="BU5" s="1726" t="s">
        <v>304</v>
      </c>
      <c r="BV5" s="1727"/>
      <c r="BW5" s="1727"/>
      <c r="BX5" s="1727"/>
      <c r="BY5" s="1727"/>
      <c r="BZ5" s="1727"/>
      <c r="CA5" s="1728"/>
      <c r="CB5" s="864"/>
      <c r="CC5" s="1726" t="s">
        <v>307</v>
      </c>
      <c r="CD5" s="1727"/>
      <c r="CE5" s="1727"/>
      <c r="CF5" s="1728"/>
      <c r="CG5" s="1790"/>
      <c r="CH5" s="1727"/>
      <c r="CI5" s="1728"/>
      <c r="CJ5" s="864"/>
      <c r="CK5" s="1726" t="s">
        <v>308</v>
      </c>
      <c r="CL5" s="1727"/>
      <c r="CM5" s="1727"/>
      <c r="CN5" s="1727"/>
      <c r="CO5" s="1727"/>
      <c r="CP5" s="1727"/>
      <c r="CQ5" s="1728"/>
      <c r="CR5" s="864"/>
      <c r="CS5" s="1765" t="s">
        <v>309</v>
      </c>
      <c r="CT5" s="1766"/>
      <c r="CU5" s="1766"/>
      <c r="CV5" s="1766"/>
      <c r="CW5" s="1766"/>
      <c r="CX5" s="1766"/>
      <c r="CY5" s="1767"/>
      <c r="CZ5" s="864"/>
      <c r="DA5" s="1775" t="s">
        <v>310</v>
      </c>
      <c r="DB5" s="1776"/>
      <c r="DC5" s="1776"/>
      <c r="DD5" s="1776"/>
      <c r="DE5" s="1776"/>
      <c r="DF5" s="1776"/>
      <c r="DG5" s="1777"/>
      <c r="DH5" s="864"/>
      <c r="DI5" s="1726" t="s">
        <v>311</v>
      </c>
      <c r="DJ5" s="1727"/>
      <c r="DK5" s="1727"/>
      <c r="DL5" s="1727"/>
      <c r="DM5" s="1727"/>
      <c r="DN5" s="1727"/>
      <c r="DO5" s="1728"/>
      <c r="DP5" s="864"/>
      <c r="DQ5" s="1726" t="s">
        <v>312</v>
      </c>
      <c r="DR5" s="1727"/>
      <c r="DS5" s="1727"/>
      <c r="DT5" s="1727"/>
      <c r="DU5" s="1727"/>
      <c r="DV5" s="1727"/>
      <c r="DW5" s="1728"/>
      <c r="DX5" s="864"/>
      <c r="DY5" s="1726" t="s">
        <v>313</v>
      </c>
      <c r="DZ5" s="1727"/>
      <c r="EA5" s="1727"/>
      <c r="EB5" s="1727"/>
      <c r="EC5" s="1727"/>
      <c r="ED5" s="1727"/>
      <c r="EE5" s="1728"/>
      <c r="EG5" s="1787" t="s">
        <v>314</v>
      </c>
      <c r="EH5" s="1788"/>
      <c r="EI5" s="1788"/>
      <c r="EJ5" s="1788"/>
      <c r="EK5" s="1788"/>
      <c r="EL5" s="1788"/>
      <c r="EM5" s="1789"/>
      <c r="EO5" s="1784" t="s">
        <v>315</v>
      </c>
      <c r="EP5" s="1785"/>
      <c r="EQ5" s="1785"/>
      <c r="ER5" s="1785"/>
      <c r="ES5" s="1785"/>
      <c r="ET5" s="1785"/>
      <c r="EU5" s="1786"/>
      <c r="EW5" s="1781" t="s">
        <v>316</v>
      </c>
      <c r="EX5" s="1782"/>
      <c r="EY5" s="1782"/>
      <c r="EZ5" s="1782"/>
      <c r="FA5" s="1782"/>
      <c r="FB5" s="1782"/>
      <c r="FC5" s="1783"/>
    </row>
    <row r="6" spans="2:159" ht="24.75" customHeight="1" thickTop="1">
      <c r="B6" s="1803"/>
      <c r="C6" s="1804"/>
      <c r="D6" s="1799"/>
      <c r="E6" s="1811"/>
      <c r="F6" s="1808"/>
      <c r="G6" s="1808"/>
      <c r="H6" s="865"/>
      <c r="I6" s="1814" t="s">
        <v>158</v>
      </c>
      <c r="J6" s="1817" t="s">
        <v>249</v>
      </c>
      <c r="K6" s="1752" t="s">
        <v>250</v>
      </c>
      <c r="L6" s="1709"/>
      <c r="M6" s="865"/>
      <c r="N6" s="1725" t="s">
        <v>253</v>
      </c>
      <c r="O6" s="1709" t="s">
        <v>784</v>
      </c>
      <c r="P6" s="865"/>
      <c r="Q6" s="1725" t="s">
        <v>116</v>
      </c>
      <c r="R6" s="1752" t="s">
        <v>254</v>
      </c>
      <c r="S6" s="1709" t="s">
        <v>376</v>
      </c>
      <c r="T6" s="414"/>
      <c r="U6" s="1725" t="s">
        <v>116</v>
      </c>
      <c r="V6" s="1752" t="s">
        <v>254</v>
      </c>
      <c r="W6" s="1709" t="s">
        <v>376</v>
      </c>
      <c r="X6" s="865"/>
      <c r="Y6" s="1725" t="s">
        <v>116</v>
      </c>
      <c r="Z6" s="1752" t="s">
        <v>254</v>
      </c>
      <c r="AA6" s="1709" t="s">
        <v>376</v>
      </c>
      <c r="AB6" s="865"/>
      <c r="AC6" s="1725" t="s">
        <v>116</v>
      </c>
      <c r="AD6" s="1752" t="s">
        <v>254</v>
      </c>
      <c r="AE6" s="1709" t="s">
        <v>376</v>
      </c>
      <c r="AF6" s="414"/>
      <c r="AG6" s="1725" t="s">
        <v>116</v>
      </c>
      <c r="AH6" s="1752" t="s">
        <v>277</v>
      </c>
      <c r="AI6" s="1752" t="s">
        <v>254</v>
      </c>
      <c r="AJ6" s="1752" t="s">
        <v>264</v>
      </c>
      <c r="AK6" s="1752" t="s">
        <v>377</v>
      </c>
      <c r="AL6" s="1752" t="s">
        <v>282</v>
      </c>
      <c r="AM6" s="1709" t="s">
        <v>278</v>
      </c>
      <c r="AN6" s="866"/>
      <c r="AO6" s="1725" t="s">
        <v>116</v>
      </c>
      <c r="AP6" s="1752" t="s">
        <v>277</v>
      </c>
      <c r="AQ6" s="1752" t="s">
        <v>254</v>
      </c>
      <c r="AR6" s="1752" t="s">
        <v>376</v>
      </c>
      <c r="AS6" s="1752" t="s">
        <v>283</v>
      </c>
      <c r="AT6" s="1752" t="s">
        <v>282</v>
      </c>
      <c r="AU6" s="1709" t="s">
        <v>278</v>
      </c>
      <c r="AV6" s="866"/>
      <c r="AW6" s="1725" t="s">
        <v>116</v>
      </c>
      <c r="AX6" s="1752" t="s">
        <v>277</v>
      </c>
      <c r="AY6" s="1752" t="s">
        <v>254</v>
      </c>
      <c r="AZ6" s="1752" t="s">
        <v>376</v>
      </c>
      <c r="BA6" s="1752" t="s">
        <v>283</v>
      </c>
      <c r="BB6" s="1752" t="s">
        <v>282</v>
      </c>
      <c r="BC6" s="1709" t="s">
        <v>278</v>
      </c>
      <c r="BD6" s="866"/>
      <c r="BE6" s="1725" t="s">
        <v>116</v>
      </c>
      <c r="BF6" s="1723" t="s">
        <v>277</v>
      </c>
      <c r="BG6" s="1723" t="s">
        <v>254</v>
      </c>
      <c r="BH6" s="1752" t="s">
        <v>376</v>
      </c>
      <c r="BI6" s="1752" t="s">
        <v>283</v>
      </c>
      <c r="BJ6" s="1752" t="s">
        <v>282</v>
      </c>
      <c r="BK6" s="1709" t="s">
        <v>278</v>
      </c>
      <c r="BL6" s="866"/>
      <c r="BM6" s="1725" t="s">
        <v>116</v>
      </c>
      <c r="BN6" s="1723" t="s">
        <v>277</v>
      </c>
      <c r="BO6" s="1723" t="s">
        <v>254</v>
      </c>
      <c r="BP6" s="1752" t="s">
        <v>376</v>
      </c>
      <c r="BQ6" s="1752" t="s">
        <v>283</v>
      </c>
      <c r="BR6" s="1752" t="s">
        <v>282</v>
      </c>
      <c r="BS6" s="1709" t="s">
        <v>278</v>
      </c>
      <c r="BT6" s="866"/>
      <c r="BU6" s="1725" t="s">
        <v>116</v>
      </c>
      <c r="BV6" s="1752" t="s">
        <v>277</v>
      </c>
      <c r="BW6" s="1752" t="s">
        <v>254</v>
      </c>
      <c r="BX6" s="1752" t="s">
        <v>376</v>
      </c>
      <c r="BY6" s="1752" t="s">
        <v>283</v>
      </c>
      <c r="BZ6" s="1752" t="s">
        <v>282</v>
      </c>
      <c r="CA6" s="1709" t="s">
        <v>278</v>
      </c>
      <c r="CB6" s="866"/>
      <c r="CC6" s="1725" t="s">
        <v>116</v>
      </c>
      <c r="CD6" s="1752" t="s">
        <v>277</v>
      </c>
      <c r="CE6" s="1752" t="s">
        <v>254</v>
      </c>
      <c r="CF6" s="1709" t="s">
        <v>376</v>
      </c>
      <c r="CG6" s="1791" t="s">
        <v>283</v>
      </c>
      <c r="CH6" s="1752" t="s">
        <v>282</v>
      </c>
      <c r="CI6" s="1709" t="s">
        <v>278</v>
      </c>
      <c r="CJ6" s="866"/>
      <c r="CK6" s="1725" t="s">
        <v>116</v>
      </c>
      <c r="CL6" s="1752" t="s">
        <v>277</v>
      </c>
      <c r="CM6" s="1752" t="s">
        <v>254</v>
      </c>
      <c r="CN6" s="1752" t="s">
        <v>376</v>
      </c>
      <c r="CO6" s="1752" t="s">
        <v>283</v>
      </c>
      <c r="CP6" s="1752" t="s">
        <v>282</v>
      </c>
      <c r="CQ6" s="1709" t="s">
        <v>278</v>
      </c>
      <c r="CR6" s="866"/>
      <c r="CS6" s="1725" t="s">
        <v>116</v>
      </c>
      <c r="CT6" s="1752" t="s">
        <v>277</v>
      </c>
      <c r="CU6" s="1752" t="s">
        <v>254</v>
      </c>
      <c r="CV6" s="1752" t="s">
        <v>376</v>
      </c>
      <c r="CW6" s="1752" t="s">
        <v>283</v>
      </c>
      <c r="CX6" s="1752" t="s">
        <v>282</v>
      </c>
      <c r="CY6" s="1709" t="s">
        <v>278</v>
      </c>
      <c r="CZ6" s="866"/>
      <c r="DA6" s="1725" t="s">
        <v>116</v>
      </c>
      <c r="DB6" s="1752" t="s">
        <v>277</v>
      </c>
      <c r="DC6" s="1752" t="s">
        <v>254</v>
      </c>
      <c r="DD6" s="1752" t="s">
        <v>376</v>
      </c>
      <c r="DE6" s="1752" t="s">
        <v>283</v>
      </c>
      <c r="DF6" s="1752" t="s">
        <v>282</v>
      </c>
      <c r="DG6" s="1709" t="s">
        <v>278</v>
      </c>
      <c r="DH6" s="866"/>
      <c r="DI6" s="1725" t="s">
        <v>116</v>
      </c>
      <c r="DJ6" s="1752" t="s">
        <v>277</v>
      </c>
      <c r="DK6" s="1752" t="s">
        <v>254</v>
      </c>
      <c r="DL6" s="1752" t="s">
        <v>376</v>
      </c>
      <c r="DM6" s="1752" t="s">
        <v>283</v>
      </c>
      <c r="DN6" s="1752" t="s">
        <v>282</v>
      </c>
      <c r="DO6" s="1709" t="s">
        <v>278</v>
      </c>
      <c r="DP6" s="866"/>
      <c r="DQ6" s="1725" t="s">
        <v>116</v>
      </c>
      <c r="DR6" s="1752" t="s">
        <v>277</v>
      </c>
      <c r="DS6" s="1752" t="s">
        <v>254</v>
      </c>
      <c r="DT6" s="1752" t="s">
        <v>376</v>
      </c>
      <c r="DU6" s="1752" t="s">
        <v>283</v>
      </c>
      <c r="DV6" s="1752" t="s">
        <v>282</v>
      </c>
      <c r="DW6" s="1709" t="s">
        <v>278</v>
      </c>
      <c r="DX6" s="866"/>
      <c r="DY6" s="1725" t="s">
        <v>116</v>
      </c>
      <c r="DZ6" s="1752" t="s">
        <v>277</v>
      </c>
      <c r="EA6" s="1752" t="s">
        <v>254</v>
      </c>
      <c r="EB6" s="1752" t="s">
        <v>376</v>
      </c>
      <c r="EC6" s="1752" t="s">
        <v>283</v>
      </c>
      <c r="ED6" s="1752" t="s">
        <v>282</v>
      </c>
      <c r="EE6" s="1709" t="s">
        <v>278</v>
      </c>
      <c r="EG6" s="1725" t="s">
        <v>116</v>
      </c>
      <c r="EH6" s="1752" t="s">
        <v>277</v>
      </c>
      <c r="EI6" s="1752" t="s">
        <v>254</v>
      </c>
      <c r="EJ6" s="1752" t="s">
        <v>376</v>
      </c>
      <c r="EK6" s="1752" t="s">
        <v>283</v>
      </c>
      <c r="EL6" s="1752" t="s">
        <v>282</v>
      </c>
      <c r="EM6" s="1709" t="s">
        <v>278</v>
      </c>
      <c r="EO6" s="1725" t="s">
        <v>116</v>
      </c>
      <c r="EP6" s="1752" t="s">
        <v>277</v>
      </c>
      <c r="EQ6" s="1752" t="s">
        <v>254</v>
      </c>
      <c r="ER6" s="1752" t="s">
        <v>376</v>
      </c>
      <c r="ES6" s="1752" t="s">
        <v>283</v>
      </c>
      <c r="ET6" s="1752" t="s">
        <v>282</v>
      </c>
      <c r="EU6" s="1709" t="s">
        <v>278</v>
      </c>
      <c r="EW6" s="1725" t="s">
        <v>116</v>
      </c>
      <c r="EX6" s="1752" t="s">
        <v>277</v>
      </c>
      <c r="EY6" s="1752" t="s">
        <v>254</v>
      </c>
      <c r="EZ6" s="1752" t="s">
        <v>376</v>
      </c>
      <c r="FA6" s="1752" t="s">
        <v>283</v>
      </c>
      <c r="FB6" s="1752" t="s">
        <v>282</v>
      </c>
      <c r="FC6" s="1709" t="s">
        <v>278</v>
      </c>
    </row>
    <row r="7" spans="2:159" ht="27" customHeight="1" thickBot="1">
      <c r="B7" s="1805"/>
      <c r="C7" s="1806"/>
      <c r="D7" s="1800"/>
      <c r="E7" s="1812"/>
      <c r="F7" s="1809"/>
      <c r="G7" s="1809"/>
      <c r="H7" s="865"/>
      <c r="I7" s="1815"/>
      <c r="J7" s="1817"/>
      <c r="K7" s="174" t="s">
        <v>251</v>
      </c>
      <c r="L7" s="1156" t="s">
        <v>252</v>
      </c>
      <c r="M7" s="865"/>
      <c r="N7" s="1707"/>
      <c r="O7" s="1710"/>
      <c r="P7" s="865"/>
      <c r="Q7" s="1707"/>
      <c r="R7" s="1753"/>
      <c r="S7" s="1710"/>
      <c r="T7" s="414"/>
      <c r="U7" s="1707"/>
      <c r="V7" s="1753"/>
      <c r="W7" s="1710"/>
      <c r="X7" s="865"/>
      <c r="Y7" s="1707"/>
      <c r="Z7" s="1753"/>
      <c r="AA7" s="1710"/>
      <c r="AB7" s="865"/>
      <c r="AC7" s="1707"/>
      <c r="AD7" s="1753"/>
      <c r="AE7" s="1710"/>
      <c r="AF7" s="414"/>
      <c r="AG7" s="1707"/>
      <c r="AH7" s="1753"/>
      <c r="AI7" s="1753"/>
      <c r="AJ7" s="1753"/>
      <c r="AK7" s="1753"/>
      <c r="AL7" s="1753"/>
      <c r="AM7" s="1710"/>
      <c r="AN7" s="866"/>
      <c r="AO7" s="1707"/>
      <c r="AP7" s="1753"/>
      <c r="AQ7" s="1753"/>
      <c r="AR7" s="1753"/>
      <c r="AS7" s="1753"/>
      <c r="AT7" s="1753"/>
      <c r="AU7" s="1710"/>
      <c r="AV7" s="866"/>
      <c r="AW7" s="1707"/>
      <c r="AX7" s="1753"/>
      <c r="AY7" s="1753"/>
      <c r="AZ7" s="1753"/>
      <c r="BA7" s="1753"/>
      <c r="BB7" s="1753"/>
      <c r="BC7" s="1710"/>
      <c r="BD7" s="866"/>
      <c r="BE7" s="1707"/>
      <c r="BF7" s="1724"/>
      <c r="BG7" s="1724"/>
      <c r="BH7" s="1753"/>
      <c r="BI7" s="1753"/>
      <c r="BJ7" s="1753"/>
      <c r="BK7" s="1710"/>
      <c r="BL7" s="866"/>
      <c r="BM7" s="1707"/>
      <c r="BN7" s="1724"/>
      <c r="BO7" s="1724"/>
      <c r="BP7" s="1753"/>
      <c r="BQ7" s="1753"/>
      <c r="BR7" s="1753"/>
      <c r="BS7" s="1710"/>
      <c r="BT7" s="866"/>
      <c r="BU7" s="1707"/>
      <c r="BV7" s="1753"/>
      <c r="BW7" s="1753"/>
      <c r="BX7" s="1753"/>
      <c r="BY7" s="1753"/>
      <c r="BZ7" s="1753"/>
      <c r="CA7" s="1710"/>
      <c r="CB7" s="866"/>
      <c r="CC7" s="1707"/>
      <c r="CD7" s="1753"/>
      <c r="CE7" s="1753"/>
      <c r="CF7" s="1710"/>
      <c r="CG7" s="1792"/>
      <c r="CH7" s="1753"/>
      <c r="CI7" s="1710"/>
      <c r="CJ7" s="866"/>
      <c r="CK7" s="1707"/>
      <c r="CL7" s="1753"/>
      <c r="CM7" s="1753"/>
      <c r="CN7" s="1753"/>
      <c r="CO7" s="1753"/>
      <c r="CP7" s="1753"/>
      <c r="CQ7" s="1710"/>
      <c r="CR7" s="866"/>
      <c r="CS7" s="1707"/>
      <c r="CT7" s="1753"/>
      <c r="CU7" s="1753"/>
      <c r="CV7" s="1753"/>
      <c r="CW7" s="1753"/>
      <c r="CX7" s="1753"/>
      <c r="CY7" s="1710"/>
      <c r="CZ7" s="866"/>
      <c r="DA7" s="1707"/>
      <c r="DB7" s="1753"/>
      <c r="DC7" s="1753"/>
      <c r="DD7" s="1753"/>
      <c r="DE7" s="1753"/>
      <c r="DF7" s="1753"/>
      <c r="DG7" s="1710"/>
      <c r="DH7" s="866"/>
      <c r="DI7" s="1707"/>
      <c r="DJ7" s="1753"/>
      <c r="DK7" s="1753"/>
      <c r="DL7" s="1753"/>
      <c r="DM7" s="1753"/>
      <c r="DN7" s="1753"/>
      <c r="DO7" s="1710"/>
      <c r="DP7" s="866"/>
      <c r="DQ7" s="1707"/>
      <c r="DR7" s="1753"/>
      <c r="DS7" s="1753"/>
      <c r="DT7" s="1753"/>
      <c r="DU7" s="1753"/>
      <c r="DV7" s="1753"/>
      <c r="DW7" s="1710"/>
      <c r="DX7" s="866"/>
      <c r="DY7" s="1707"/>
      <c r="DZ7" s="1753"/>
      <c r="EA7" s="1753"/>
      <c r="EB7" s="1753"/>
      <c r="EC7" s="1753"/>
      <c r="ED7" s="1753"/>
      <c r="EE7" s="1710"/>
      <c r="EG7" s="1707"/>
      <c r="EH7" s="1753"/>
      <c r="EI7" s="1753"/>
      <c r="EJ7" s="1753"/>
      <c r="EK7" s="1753"/>
      <c r="EL7" s="1753"/>
      <c r="EM7" s="1710"/>
      <c r="EO7" s="1707"/>
      <c r="EP7" s="1753"/>
      <c r="EQ7" s="1753"/>
      <c r="ER7" s="1753"/>
      <c r="ES7" s="1753"/>
      <c r="ET7" s="1753"/>
      <c r="EU7" s="1710"/>
      <c r="EW7" s="1707"/>
      <c r="EX7" s="1753"/>
      <c r="EY7" s="1753"/>
      <c r="EZ7" s="1753"/>
      <c r="FA7" s="1753"/>
      <c r="FB7" s="1753"/>
      <c r="FC7" s="1710"/>
    </row>
    <row r="8" spans="2:159" ht="15.75" thickBot="1">
      <c r="B8" s="188">
        <v>1</v>
      </c>
      <c r="C8" s="1015">
        <v>2</v>
      </c>
      <c r="D8" s="189">
        <v>3</v>
      </c>
      <c r="E8" s="884">
        <v>4</v>
      </c>
      <c r="F8" s="871">
        <v>5</v>
      </c>
      <c r="G8" s="871">
        <v>6</v>
      </c>
      <c r="H8" s="1195"/>
      <c r="I8" s="1196">
        <v>7</v>
      </c>
      <c r="J8" s="167">
        <v>7</v>
      </c>
      <c r="K8" s="169">
        <v>8</v>
      </c>
      <c r="L8" s="176">
        <v>9</v>
      </c>
      <c r="M8" s="1197" t="s">
        <v>4</v>
      </c>
      <c r="N8" s="167">
        <v>10</v>
      </c>
      <c r="O8" s="176">
        <v>11</v>
      </c>
      <c r="P8" s="933"/>
      <c r="Q8" s="167">
        <v>12</v>
      </c>
      <c r="R8" s="169">
        <v>13</v>
      </c>
      <c r="S8" s="176">
        <v>14</v>
      </c>
      <c r="T8" s="934"/>
      <c r="U8" s="167">
        <v>12</v>
      </c>
      <c r="V8" s="169">
        <v>13</v>
      </c>
      <c r="W8" s="176">
        <v>14</v>
      </c>
      <c r="X8" s="933"/>
      <c r="Y8" s="167">
        <v>12</v>
      </c>
      <c r="Z8" s="169">
        <v>13</v>
      </c>
      <c r="AA8" s="176">
        <v>14</v>
      </c>
      <c r="AB8" s="933"/>
      <c r="AC8" s="167">
        <v>12</v>
      </c>
      <c r="AD8" s="169">
        <v>13</v>
      </c>
      <c r="AE8" s="176">
        <v>14</v>
      </c>
      <c r="AF8" s="934"/>
      <c r="AG8" s="167">
        <v>12</v>
      </c>
      <c r="AH8" s="168"/>
      <c r="AI8" s="169">
        <v>13</v>
      </c>
      <c r="AJ8" s="176">
        <v>14</v>
      </c>
      <c r="AK8" s="170"/>
      <c r="AL8" s="169">
        <v>14</v>
      </c>
      <c r="AM8" s="171"/>
      <c r="AN8" s="933"/>
      <c r="AO8" s="167">
        <v>12</v>
      </c>
      <c r="AP8" s="168"/>
      <c r="AQ8" s="169">
        <v>13</v>
      </c>
      <c r="AR8" s="176">
        <v>14</v>
      </c>
      <c r="AS8" s="170"/>
      <c r="AT8" s="169">
        <v>14</v>
      </c>
      <c r="AU8" s="171"/>
      <c r="AV8" s="933"/>
      <c r="AW8" s="167">
        <v>12</v>
      </c>
      <c r="AX8" s="168"/>
      <c r="AY8" s="169">
        <v>13</v>
      </c>
      <c r="AZ8" s="176">
        <v>14</v>
      </c>
      <c r="BA8" s="170"/>
      <c r="BB8" s="169">
        <v>14</v>
      </c>
      <c r="BC8" s="171"/>
      <c r="BD8" s="933"/>
      <c r="BE8" s="167">
        <v>12</v>
      </c>
      <c r="BF8" s="168"/>
      <c r="BG8" s="169">
        <v>13</v>
      </c>
      <c r="BH8" s="176">
        <v>14</v>
      </c>
      <c r="BI8" s="170"/>
      <c r="BJ8" s="169">
        <v>14</v>
      </c>
      <c r="BK8" s="171"/>
      <c r="BL8" s="933"/>
      <c r="BM8" s="167">
        <v>12</v>
      </c>
      <c r="BN8" s="168"/>
      <c r="BO8" s="169">
        <v>13</v>
      </c>
      <c r="BP8" s="176">
        <v>14</v>
      </c>
      <c r="BQ8" s="170"/>
      <c r="BR8" s="169">
        <v>14</v>
      </c>
      <c r="BS8" s="171"/>
      <c r="BT8" s="933"/>
      <c r="BU8" s="167">
        <v>12</v>
      </c>
      <c r="BV8" s="168"/>
      <c r="BW8" s="169">
        <v>13</v>
      </c>
      <c r="BX8" s="176">
        <v>14</v>
      </c>
      <c r="BY8" s="170"/>
      <c r="BZ8" s="169">
        <v>14</v>
      </c>
      <c r="CA8" s="171"/>
      <c r="CB8" s="933"/>
      <c r="CC8" s="167">
        <v>12</v>
      </c>
      <c r="CD8" s="168"/>
      <c r="CE8" s="169">
        <v>13</v>
      </c>
      <c r="CF8" s="176">
        <v>14</v>
      </c>
      <c r="CG8" s="896"/>
      <c r="CH8" s="169">
        <v>14</v>
      </c>
      <c r="CI8" s="171"/>
      <c r="CJ8" s="933"/>
      <c r="CK8" s="167">
        <v>12</v>
      </c>
      <c r="CL8" s="1096"/>
      <c r="CM8" s="169">
        <v>13</v>
      </c>
      <c r="CN8" s="176">
        <v>14</v>
      </c>
      <c r="CO8" s="170"/>
      <c r="CP8" s="169">
        <v>14</v>
      </c>
      <c r="CQ8" s="171"/>
      <c r="CR8" s="933"/>
      <c r="CS8" s="167">
        <v>12</v>
      </c>
      <c r="CT8" s="168"/>
      <c r="CU8" s="169">
        <v>13</v>
      </c>
      <c r="CV8" s="170">
        <v>14</v>
      </c>
      <c r="CW8" s="170"/>
      <c r="CX8" s="169">
        <v>14</v>
      </c>
      <c r="CY8" s="171"/>
      <c r="CZ8" s="933"/>
      <c r="DA8" s="167">
        <v>12</v>
      </c>
      <c r="DB8" s="168"/>
      <c r="DC8" s="169">
        <v>13</v>
      </c>
      <c r="DD8" s="170">
        <v>14</v>
      </c>
      <c r="DE8" s="170"/>
      <c r="DF8" s="169">
        <v>14</v>
      </c>
      <c r="DG8" s="171"/>
      <c r="DH8" s="933"/>
      <c r="DI8" s="167">
        <v>12</v>
      </c>
      <c r="DJ8" s="168"/>
      <c r="DK8" s="169">
        <v>13</v>
      </c>
      <c r="DL8" s="176">
        <v>14</v>
      </c>
      <c r="DM8" s="170"/>
      <c r="DN8" s="169">
        <v>14</v>
      </c>
      <c r="DO8" s="171"/>
      <c r="DP8" s="933"/>
      <c r="DQ8" s="167">
        <v>12</v>
      </c>
      <c r="DR8" s="168"/>
      <c r="DS8" s="169">
        <v>13</v>
      </c>
      <c r="DT8" s="176">
        <v>14</v>
      </c>
      <c r="DU8" s="170"/>
      <c r="DV8" s="169">
        <v>14</v>
      </c>
      <c r="DW8" s="171"/>
      <c r="DX8" s="933"/>
      <c r="DY8" s="167">
        <v>12</v>
      </c>
      <c r="DZ8" s="168"/>
      <c r="EA8" s="169">
        <v>13</v>
      </c>
      <c r="EB8" s="176">
        <v>14</v>
      </c>
      <c r="EC8" s="170"/>
      <c r="ED8" s="169">
        <v>14</v>
      </c>
      <c r="EE8" s="171"/>
      <c r="EF8" s="173"/>
      <c r="EG8" s="167">
        <v>12</v>
      </c>
      <c r="EH8" s="168"/>
      <c r="EI8" s="169">
        <v>13</v>
      </c>
      <c r="EJ8" s="170"/>
      <c r="EK8" s="170"/>
      <c r="EL8" s="169">
        <v>14</v>
      </c>
      <c r="EM8" s="171"/>
      <c r="EN8" s="173"/>
      <c r="EO8" s="167">
        <v>12</v>
      </c>
      <c r="EP8" s="168"/>
      <c r="EQ8" s="169">
        <v>13</v>
      </c>
      <c r="ER8" s="170"/>
      <c r="ES8" s="170"/>
      <c r="ET8" s="169">
        <v>14</v>
      </c>
      <c r="EU8" s="171"/>
      <c r="EV8" s="173"/>
      <c r="EW8" s="167">
        <v>12</v>
      </c>
      <c r="EX8" s="168"/>
      <c r="EY8" s="169">
        <v>13</v>
      </c>
      <c r="EZ8" s="170"/>
      <c r="FA8" s="170"/>
      <c r="FB8" s="169">
        <v>14</v>
      </c>
      <c r="FC8" s="171"/>
    </row>
    <row r="9" spans="2:159" ht="20.100000000000001" customHeight="1" thickBot="1">
      <c r="B9" s="1732" t="s">
        <v>26</v>
      </c>
      <c r="C9" s="1823" t="s">
        <v>58</v>
      </c>
      <c r="D9" s="190" t="s">
        <v>51</v>
      </c>
      <c r="E9" s="885" t="s">
        <v>99</v>
      </c>
      <c r="F9" s="872">
        <v>2</v>
      </c>
      <c r="G9" s="872">
        <v>30</v>
      </c>
      <c r="H9" s="1198"/>
      <c r="I9" s="1199">
        <v>0</v>
      </c>
      <c r="J9" s="287">
        <v>1</v>
      </c>
      <c r="K9" s="450">
        <v>0</v>
      </c>
      <c r="L9" s="288">
        <v>0</v>
      </c>
      <c r="M9" s="1200"/>
      <c r="N9" s="681">
        <v>1</v>
      </c>
      <c r="O9" s="454">
        <v>2</v>
      </c>
      <c r="P9" s="1200"/>
      <c r="Q9" s="287">
        <v>0</v>
      </c>
      <c r="R9" s="450">
        <v>0</v>
      </c>
      <c r="S9" s="288">
        <v>0</v>
      </c>
      <c r="T9" s="1201"/>
      <c r="U9" s="287">
        <v>0</v>
      </c>
      <c r="V9" s="450">
        <v>0</v>
      </c>
      <c r="W9" s="288">
        <v>0</v>
      </c>
      <c r="X9" s="1200"/>
      <c r="Y9" s="287">
        <v>0</v>
      </c>
      <c r="Z9" s="450">
        <v>0</v>
      </c>
      <c r="AA9" s="288">
        <v>0</v>
      </c>
      <c r="AB9" s="1200"/>
      <c r="AC9" s="289">
        <v>0</v>
      </c>
      <c r="AD9" s="241">
        <v>0</v>
      </c>
      <c r="AE9" s="293">
        <v>0</v>
      </c>
      <c r="AF9" s="1202"/>
      <c r="AG9" s="897">
        <v>0</v>
      </c>
      <c r="AH9" s="1203">
        <v>0.16666666666666666</v>
      </c>
      <c r="AI9" s="1203">
        <v>0</v>
      </c>
      <c r="AJ9" s="450">
        <v>0</v>
      </c>
      <c r="AK9" s="241">
        <v>0</v>
      </c>
      <c r="AL9" s="241">
        <v>0</v>
      </c>
      <c r="AM9" s="693" t="s">
        <v>279</v>
      </c>
      <c r="AN9" s="1202"/>
      <c r="AO9" s="897">
        <v>0</v>
      </c>
      <c r="AP9" s="1203">
        <v>0.16666666666666666</v>
      </c>
      <c r="AQ9" s="1203">
        <v>0</v>
      </c>
      <c r="AR9" s="293">
        <v>0</v>
      </c>
      <c r="AS9" s="241">
        <v>0</v>
      </c>
      <c r="AT9" s="241">
        <v>0</v>
      </c>
      <c r="AU9" s="693" t="s">
        <v>279</v>
      </c>
      <c r="AV9" s="1202"/>
      <c r="AW9" s="897">
        <v>0</v>
      </c>
      <c r="AX9" s="1204">
        <v>2</v>
      </c>
      <c r="AY9" s="1204">
        <v>0</v>
      </c>
      <c r="AZ9" s="293">
        <v>0</v>
      </c>
      <c r="BA9" s="241">
        <v>0</v>
      </c>
      <c r="BB9" s="241">
        <v>0</v>
      </c>
      <c r="BC9" s="693" t="s">
        <v>279</v>
      </c>
      <c r="BD9" s="1202"/>
      <c r="BE9" s="897">
        <v>0</v>
      </c>
      <c r="BF9" s="241">
        <v>2.3333333333333335</v>
      </c>
      <c r="BG9" s="241">
        <v>0</v>
      </c>
      <c r="BH9" s="293">
        <v>0</v>
      </c>
      <c r="BI9" s="241">
        <v>0</v>
      </c>
      <c r="BJ9" s="241">
        <v>0</v>
      </c>
      <c r="BK9" s="693" t="s">
        <v>279</v>
      </c>
      <c r="BL9" s="1202"/>
      <c r="BM9" s="897">
        <v>0</v>
      </c>
      <c r="BN9" s="241"/>
      <c r="BO9" s="241">
        <v>0</v>
      </c>
      <c r="BP9" s="293">
        <v>0</v>
      </c>
      <c r="BQ9" s="241">
        <v>0</v>
      </c>
      <c r="BR9" s="241">
        <v>0</v>
      </c>
      <c r="BS9" s="693" t="s">
        <v>279</v>
      </c>
      <c r="BT9" s="1202"/>
      <c r="BU9" s="897">
        <v>0</v>
      </c>
      <c r="BV9" s="1205">
        <v>0</v>
      </c>
      <c r="BW9" s="1205">
        <v>0</v>
      </c>
      <c r="BX9" s="293">
        <v>0</v>
      </c>
      <c r="BY9" s="241">
        <v>0</v>
      </c>
      <c r="BZ9" s="241">
        <v>0</v>
      </c>
      <c r="CA9" s="693" t="s">
        <v>279</v>
      </c>
      <c r="CB9" s="1202"/>
      <c r="CC9" s="897">
        <v>0</v>
      </c>
      <c r="CD9" s="1203">
        <v>0.16666666666666666</v>
      </c>
      <c r="CE9" s="1205">
        <v>0</v>
      </c>
      <c r="CF9" s="293">
        <v>0</v>
      </c>
      <c r="CG9" s="898">
        <v>0</v>
      </c>
      <c r="CH9" s="241">
        <v>0</v>
      </c>
      <c r="CI9" s="693" t="s">
        <v>279</v>
      </c>
      <c r="CJ9" s="1202"/>
      <c r="CK9" s="897">
        <v>0</v>
      </c>
      <c r="CL9" s="1205">
        <v>0.22222222222222221</v>
      </c>
      <c r="CM9" s="1205">
        <v>0</v>
      </c>
      <c r="CN9" s="293">
        <v>0</v>
      </c>
      <c r="CO9" s="241">
        <v>0</v>
      </c>
      <c r="CP9" s="241">
        <v>0</v>
      </c>
      <c r="CQ9" s="693" t="s">
        <v>279</v>
      </c>
      <c r="CR9" s="1202"/>
      <c r="CS9" s="897">
        <v>0</v>
      </c>
      <c r="CT9" s="241">
        <v>0.38888888888888884</v>
      </c>
      <c r="CU9" s="241">
        <v>0</v>
      </c>
      <c r="CV9" s="293">
        <v>0</v>
      </c>
      <c r="CW9" s="241">
        <v>0</v>
      </c>
      <c r="CX9" s="241">
        <v>0</v>
      </c>
      <c r="CY9" s="693" t="s">
        <v>279</v>
      </c>
      <c r="CZ9" s="1202"/>
      <c r="DA9" s="897">
        <v>0</v>
      </c>
      <c r="DB9" s="241">
        <v>0.38888888888888884</v>
      </c>
      <c r="DC9" s="241">
        <v>0</v>
      </c>
      <c r="DD9" s="293">
        <v>0</v>
      </c>
      <c r="DE9" s="241">
        <v>0</v>
      </c>
      <c r="DF9" s="241">
        <v>0</v>
      </c>
      <c r="DG9" s="693" t="s">
        <v>279</v>
      </c>
      <c r="DH9" s="1202"/>
      <c r="DI9" s="897">
        <v>0</v>
      </c>
      <c r="DJ9" s="1205">
        <v>0.22222222222222221</v>
      </c>
      <c r="DK9" s="1205">
        <v>0</v>
      </c>
      <c r="DL9" s="293">
        <v>0</v>
      </c>
      <c r="DM9" s="241">
        <v>0</v>
      </c>
      <c r="DN9" s="241">
        <v>0</v>
      </c>
      <c r="DO9" s="693" t="s">
        <v>279</v>
      </c>
      <c r="DP9" s="1202"/>
      <c r="DQ9" s="897">
        <v>0</v>
      </c>
      <c r="DR9" s="1205">
        <v>0.22222222222222221</v>
      </c>
      <c r="DS9" s="1205"/>
      <c r="DT9" s="293">
        <v>0</v>
      </c>
      <c r="DU9" s="241">
        <v>0</v>
      </c>
      <c r="DV9" s="241">
        <v>0</v>
      </c>
      <c r="DW9" s="693" t="s">
        <v>279</v>
      </c>
      <c r="DX9" s="1202"/>
      <c r="DY9" s="897">
        <v>0</v>
      </c>
      <c r="DZ9" s="1205">
        <v>0.22222222222222221</v>
      </c>
      <c r="EA9" s="1205"/>
      <c r="EB9" s="293">
        <v>0</v>
      </c>
      <c r="EC9" s="243">
        <v>0</v>
      </c>
      <c r="ED9" s="290">
        <v>0</v>
      </c>
      <c r="EE9" s="244" t="s">
        <v>279</v>
      </c>
      <c r="EF9" s="323"/>
      <c r="EG9" s="897">
        <v>0</v>
      </c>
      <c r="EH9" s="243">
        <v>0.66666666666666663</v>
      </c>
      <c r="EI9" s="243">
        <v>0</v>
      </c>
      <c r="EJ9" s="413">
        <v>0</v>
      </c>
      <c r="EK9" s="243">
        <v>0</v>
      </c>
      <c r="EL9" s="290">
        <v>0</v>
      </c>
      <c r="EM9" s="244" t="s">
        <v>279</v>
      </c>
      <c r="EN9" s="323"/>
      <c r="EO9" s="897">
        <v>0</v>
      </c>
      <c r="EP9" s="243">
        <v>1.0555555555555554</v>
      </c>
      <c r="EQ9" s="243">
        <v>0</v>
      </c>
      <c r="ER9" s="413">
        <v>0</v>
      </c>
      <c r="ES9" s="243">
        <v>0</v>
      </c>
      <c r="ET9" s="290">
        <v>0</v>
      </c>
      <c r="EU9" s="244" t="s">
        <v>279</v>
      </c>
      <c r="EV9" s="323"/>
      <c r="EW9" s="897">
        <v>0</v>
      </c>
      <c r="EX9" s="243">
        <v>1.0555555555555554</v>
      </c>
      <c r="EY9" s="243">
        <v>0</v>
      </c>
      <c r="EZ9" s="413">
        <v>0</v>
      </c>
      <c r="FA9" s="243">
        <v>0</v>
      </c>
      <c r="FB9" s="290">
        <v>0</v>
      </c>
      <c r="FC9" s="244" t="s">
        <v>279</v>
      </c>
    </row>
    <row r="10" spans="2:159" ht="20.100000000000001" customHeight="1">
      <c r="B10" s="1733"/>
      <c r="C10" s="1823"/>
      <c r="D10" s="191" t="s">
        <v>52</v>
      </c>
      <c r="E10" s="886" t="s">
        <v>100</v>
      </c>
      <c r="F10" s="873">
        <v>1</v>
      </c>
      <c r="G10" s="874">
        <v>10</v>
      </c>
      <c r="H10" s="1198"/>
      <c r="I10" s="1206">
        <v>0</v>
      </c>
      <c r="J10" s="291">
        <v>1</v>
      </c>
      <c r="K10" s="313">
        <v>0</v>
      </c>
      <c r="L10" s="293">
        <v>0</v>
      </c>
      <c r="M10" s="1200"/>
      <c r="N10" s="291">
        <v>1</v>
      </c>
      <c r="O10" s="293">
        <v>2</v>
      </c>
      <c r="P10" s="1200"/>
      <c r="Q10" s="291">
        <v>0</v>
      </c>
      <c r="R10" s="313">
        <v>0</v>
      </c>
      <c r="S10" s="293">
        <v>0</v>
      </c>
      <c r="T10" s="1201"/>
      <c r="U10" s="291">
        <v>0</v>
      </c>
      <c r="V10" s="313">
        <v>0</v>
      </c>
      <c r="W10" s="293">
        <v>0</v>
      </c>
      <c r="X10" s="1200"/>
      <c r="Y10" s="291">
        <v>0</v>
      </c>
      <c r="Z10" s="313">
        <v>0</v>
      </c>
      <c r="AA10" s="293">
        <v>0</v>
      </c>
      <c r="AB10" s="1200"/>
      <c r="AC10" s="294">
        <v>0</v>
      </c>
      <c r="AD10" s="252">
        <v>0</v>
      </c>
      <c r="AE10" s="293">
        <v>0</v>
      </c>
      <c r="AF10" s="1202"/>
      <c r="AG10" s="897">
        <v>0</v>
      </c>
      <c r="AH10" s="1207">
        <v>0.16666666666666666</v>
      </c>
      <c r="AI10" s="1207">
        <v>0</v>
      </c>
      <c r="AJ10" s="313">
        <v>0</v>
      </c>
      <c r="AK10" s="252">
        <v>0</v>
      </c>
      <c r="AL10" s="252">
        <v>0</v>
      </c>
      <c r="AM10" s="694" t="s">
        <v>279</v>
      </c>
      <c r="AN10" s="1202"/>
      <c r="AO10" s="897">
        <v>0</v>
      </c>
      <c r="AP10" s="1207">
        <v>0.16666666666666666</v>
      </c>
      <c r="AQ10" s="1207">
        <v>0</v>
      </c>
      <c r="AR10" s="293">
        <v>0</v>
      </c>
      <c r="AS10" s="252">
        <v>0</v>
      </c>
      <c r="AT10" s="252">
        <v>0</v>
      </c>
      <c r="AU10" s="694" t="s">
        <v>279</v>
      </c>
      <c r="AV10" s="1202"/>
      <c r="AW10" s="897">
        <v>0</v>
      </c>
      <c r="AX10" s="1208">
        <v>1</v>
      </c>
      <c r="AY10" s="1208">
        <v>0</v>
      </c>
      <c r="AZ10" s="293">
        <v>0</v>
      </c>
      <c r="BA10" s="252">
        <v>0</v>
      </c>
      <c r="BB10" s="252">
        <v>0</v>
      </c>
      <c r="BC10" s="694" t="s">
        <v>279</v>
      </c>
      <c r="BD10" s="1202"/>
      <c r="BE10" s="897">
        <v>0</v>
      </c>
      <c r="BF10" s="252">
        <v>1.3333333333333333</v>
      </c>
      <c r="BG10" s="252">
        <v>0</v>
      </c>
      <c r="BH10" s="293">
        <v>0</v>
      </c>
      <c r="BI10" s="252">
        <v>0</v>
      </c>
      <c r="BJ10" s="252">
        <v>0</v>
      </c>
      <c r="BK10" s="694" t="s">
        <v>279</v>
      </c>
      <c r="BL10" s="1202"/>
      <c r="BM10" s="897">
        <v>0</v>
      </c>
      <c r="BN10" s="252"/>
      <c r="BO10" s="252">
        <v>0</v>
      </c>
      <c r="BP10" s="293">
        <v>0</v>
      </c>
      <c r="BQ10" s="252">
        <v>0</v>
      </c>
      <c r="BR10" s="252">
        <v>0</v>
      </c>
      <c r="BS10" s="694" t="s">
        <v>279</v>
      </c>
      <c r="BT10" s="1202"/>
      <c r="BU10" s="897">
        <v>0</v>
      </c>
      <c r="BV10" s="1209">
        <v>0</v>
      </c>
      <c r="BW10" s="1209">
        <v>0</v>
      </c>
      <c r="BX10" s="293">
        <v>0</v>
      </c>
      <c r="BY10" s="252">
        <v>0</v>
      </c>
      <c r="BZ10" s="252">
        <v>0</v>
      </c>
      <c r="CA10" s="694" t="s">
        <v>279</v>
      </c>
      <c r="CB10" s="1202"/>
      <c r="CC10" s="897">
        <v>0</v>
      </c>
      <c r="CD10" s="1207">
        <v>0.16666666666666666</v>
      </c>
      <c r="CE10" s="1209">
        <v>0</v>
      </c>
      <c r="CF10" s="293">
        <v>0</v>
      </c>
      <c r="CG10" s="899">
        <v>0</v>
      </c>
      <c r="CH10" s="252">
        <v>0</v>
      </c>
      <c r="CI10" s="694" t="s">
        <v>279</v>
      </c>
      <c r="CJ10" s="1202"/>
      <c r="CK10" s="897">
        <v>0</v>
      </c>
      <c r="CL10" s="1209">
        <v>0.22222222222222221</v>
      </c>
      <c r="CM10" s="1209">
        <v>0</v>
      </c>
      <c r="CN10" s="293">
        <v>0</v>
      </c>
      <c r="CO10" s="252">
        <v>0</v>
      </c>
      <c r="CP10" s="252">
        <v>0</v>
      </c>
      <c r="CQ10" s="694" t="s">
        <v>279</v>
      </c>
      <c r="CR10" s="1202"/>
      <c r="CS10" s="897">
        <v>0</v>
      </c>
      <c r="CT10" s="252">
        <v>0.38888888888888884</v>
      </c>
      <c r="CU10" s="252">
        <v>0</v>
      </c>
      <c r="CV10" s="293">
        <v>0</v>
      </c>
      <c r="CW10" s="252">
        <v>0</v>
      </c>
      <c r="CX10" s="252">
        <v>0</v>
      </c>
      <c r="CY10" s="694" t="s">
        <v>279</v>
      </c>
      <c r="CZ10" s="1202"/>
      <c r="DA10" s="897">
        <v>0</v>
      </c>
      <c r="DB10" s="252">
        <v>0.38888888888888884</v>
      </c>
      <c r="DC10" s="252">
        <v>0</v>
      </c>
      <c r="DD10" s="293">
        <v>0</v>
      </c>
      <c r="DE10" s="252">
        <v>0</v>
      </c>
      <c r="DF10" s="252">
        <v>0</v>
      </c>
      <c r="DG10" s="694" t="s">
        <v>279</v>
      </c>
      <c r="DH10" s="1202"/>
      <c r="DI10" s="897">
        <v>0</v>
      </c>
      <c r="DJ10" s="1209">
        <v>0.22222222222222221</v>
      </c>
      <c r="DK10" s="1210">
        <v>0</v>
      </c>
      <c r="DL10" s="293">
        <v>0</v>
      </c>
      <c r="DM10" s="252">
        <v>0</v>
      </c>
      <c r="DN10" s="252">
        <v>0</v>
      </c>
      <c r="DO10" s="694" t="s">
        <v>279</v>
      </c>
      <c r="DP10" s="1202"/>
      <c r="DQ10" s="897">
        <v>0</v>
      </c>
      <c r="DR10" s="1209">
        <v>0.22222222222222221</v>
      </c>
      <c r="DS10" s="1209"/>
      <c r="DT10" s="293">
        <v>0</v>
      </c>
      <c r="DU10" s="252">
        <v>0</v>
      </c>
      <c r="DV10" s="252">
        <v>0</v>
      </c>
      <c r="DW10" s="694" t="s">
        <v>279</v>
      </c>
      <c r="DX10" s="1202"/>
      <c r="DY10" s="897">
        <v>0</v>
      </c>
      <c r="DZ10" s="1209">
        <v>0.22222222222222221</v>
      </c>
      <c r="EA10" s="1209"/>
      <c r="EB10" s="293">
        <v>0</v>
      </c>
      <c r="EC10" s="245">
        <v>0</v>
      </c>
      <c r="ED10" s="295">
        <v>0</v>
      </c>
      <c r="EE10" s="246" t="s">
        <v>279</v>
      </c>
      <c r="EF10" s="323"/>
      <c r="EG10" s="897">
        <v>0</v>
      </c>
      <c r="EH10" s="245">
        <v>0.66666666666666663</v>
      </c>
      <c r="EI10" s="245">
        <v>0</v>
      </c>
      <c r="EJ10" s="413">
        <v>0</v>
      </c>
      <c r="EK10" s="245">
        <v>0</v>
      </c>
      <c r="EL10" s="295">
        <v>0</v>
      </c>
      <c r="EM10" s="246" t="s">
        <v>279</v>
      </c>
      <c r="EN10" s="323"/>
      <c r="EO10" s="897">
        <v>0</v>
      </c>
      <c r="EP10" s="245">
        <v>1.0555555555555554</v>
      </c>
      <c r="EQ10" s="245">
        <v>0</v>
      </c>
      <c r="ER10" s="413">
        <v>0</v>
      </c>
      <c r="ES10" s="245">
        <v>0</v>
      </c>
      <c r="ET10" s="295">
        <v>0</v>
      </c>
      <c r="EU10" s="246" t="s">
        <v>279</v>
      </c>
      <c r="EV10" s="323"/>
      <c r="EW10" s="897">
        <v>0</v>
      </c>
      <c r="EX10" s="245">
        <v>1.0555555555555554</v>
      </c>
      <c r="EY10" s="245">
        <v>0</v>
      </c>
      <c r="EZ10" s="413">
        <v>0</v>
      </c>
      <c r="FA10" s="245">
        <v>0</v>
      </c>
      <c r="FB10" s="295">
        <v>0</v>
      </c>
      <c r="FC10" s="246" t="s">
        <v>279</v>
      </c>
    </row>
    <row r="11" spans="2:159" ht="35.1" customHeight="1">
      <c r="B11" s="1733"/>
      <c r="C11" s="1823"/>
      <c r="D11" s="191" t="s">
        <v>183</v>
      </c>
      <c r="E11" s="886" t="s">
        <v>101</v>
      </c>
      <c r="F11" s="873">
        <v>2</v>
      </c>
      <c r="G11" s="874">
        <v>10</v>
      </c>
      <c r="H11" s="1198"/>
      <c r="I11" s="1206">
        <v>5</v>
      </c>
      <c r="J11" s="291">
        <v>1</v>
      </c>
      <c r="K11" s="313">
        <v>1</v>
      </c>
      <c r="L11" s="293">
        <v>5</v>
      </c>
      <c r="M11" s="1200"/>
      <c r="N11" s="291">
        <v>1</v>
      </c>
      <c r="O11" s="293">
        <v>1</v>
      </c>
      <c r="P11" s="1200"/>
      <c r="Q11" s="291">
        <v>0</v>
      </c>
      <c r="R11" s="313">
        <v>0</v>
      </c>
      <c r="S11" s="293">
        <v>0</v>
      </c>
      <c r="T11" s="1201"/>
      <c r="U11" s="291">
        <v>0</v>
      </c>
      <c r="V11" s="313">
        <v>0</v>
      </c>
      <c r="W11" s="293">
        <v>0</v>
      </c>
      <c r="X11" s="1200"/>
      <c r="Y11" s="291">
        <v>0</v>
      </c>
      <c r="Z11" s="313">
        <v>0</v>
      </c>
      <c r="AA11" s="293">
        <v>0</v>
      </c>
      <c r="AB11" s="1200"/>
      <c r="AC11" s="294">
        <v>0</v>
      </c>
      <c r="AD11" s="252">
        <v>0</v>
      </c>
      <c r="AE11" s="293">
        <v>0</v>
      </c>
      <c r="AF11" s="1202"/>
      <c r="AG11" s="897">
        <v>0</v>
      </c>
      <c r="AH11" s="1207">
        <v>0.33333333333333331</v>
      </c>
      <c r="AI11" s="1207">
        <v>0</v>
      </c>
      <c r="AJ11" s="313">
        <v>0</v>
      </c>
      <c r="AK11" s="252">
        <v>0</v>
      </c>
      <c r="AL11" s="252">
        <v>0</v>
      </c>
      <c r="AM11" s="694" t="s">
        <v>279</v>
      </c>
      <c r="AN11" s="1202"/>
      <c r="AO11" s="897">
        <v>0</v>
      </c>
      <c r="AP11" s="1207">
        <v>0.33333333333333331</v>
      </c>
      <c r="AQ11" s="1207">
        <v>0</v>
      </c>
      <c r="AR11" s="293">
        <v>0</v>
      </c>
      <c r="AS11" s="252">
        <v>0</v>
      </c>
      <c r="AT11" s="252">
        <v>0</v>
      </c>
      <c r="AU11" s="694" t="s">
        <v>279</v>
      </c>
      <c r="AV11" s="1202"/>
      <c r="AW11" s="897">
        <v>60.000000000000007</v>
      </c>
      <c r="AX11" s="1208">
        <v>0.33333333333333331</v>
      </c>
      <c r="AY11" s="1208">
        <v>0.2</v>
      </c>
      <c r="AZ11" s="293">
        <v>1</v>
      </c>
      <c r="BA11" s="252">
        <v>0.2</v>
      </c>
      <c r="BB11" s="252">
        <v>1</v>
      </c>
      <c r="BC11" s="694" t="s">
        <v>279</v>
      </c>
      <c r="BD11" s="1202"/>
      <c r="BE11" s="897">
        <v>20</v>
      </c>
      <c r="BF11" s="252">
        <v>1</v>
      </c>
      <c r="BG11" s="252">
        <v>0.2</v>
      </c>
      <c r="BH11" s="293">
        <v>1</v>
      </c>
      <c r="BI11" s="252">
        <v>0.2</v>
      </c>
      <c r="BJ11" s="252">
        <v>1</v>
      </c>
      <c r="BK11" s="694" t="s">
        <v>279</v>
      </c>
      <c r="BL11" s="1202"/>
      <c r="BM11" s="897">
        <v>0</v>
      </c>
      <c r="BN11" s="252"/>
      <c r="BO11" s="252">
        <v>0.2</v>
      </c>
      <c r="BP11" s="293">
        <v>1</v>
      </c>
      <c r="BQ11" s="252">
        <v>0.2</v>
      </c>
      <c r="BR11" s="252">
        <v>1</v>
      </c>
      <c r="BS11" s="694" t="s">
        <v>279</v>
      </c>
      <c r="BT11" s="1202"/>
      <c r="BU11" s="897">
        <v>0</v>
      </c>
      <c r="BV11" s="1209">
        <v>0</v>
      </c>
      <c r="BW11" s="1209">
        <v>0</v>
      </c>
      <c r="BX11" s="293">
        <v>0</v>
      </c>
      <c r="BY11" s="252">
        <v>0.2</v>
      </c>
      <c r="BZ11" s="252">
        <v>1</v>
      </c>
      <c r="CA11" s="694" t="s">
        <v>279</v>
      </c>
      <c r="CB11" s="1202"/>
      <c r="CC11" s="897">
        <v>99.000000000000014</v>
      </c>
      <c r="CD11" s="1207">
        <v>0.1111111111111111</v>
      </c>
      <c r="CE11" s="1209">
        <v>0.11</v>
      </c>
      <c r="CF11" s="293">
        <v>0.55000000000000004</v>
      </c>
      <c r="CG11" s="899">
        <v>0.31</v>
      </c>
      <c r="CH11" s="252">
        <v>1.55</v>
      </c>
      <c r="CI11" s="694" t="s">
        <v>279</v>
      </c>
      <c r="CJ11" s="1202"/>
      <c r="CK11" s="897">
        <v>99.000000000000014</v>
      </c>
      <c r="CL11" s="1209">
        <v>0.1111111111111111</v>
      </c>
      <c r="CM11" s="1209">
        <v>0.11</v>
      </c>
      <c r="CN11" s="293">
        <v>0.55000000000000004</v>
      </c>
      <c r="CO11" s="252">
        <v>0.42</v>
      </c>
      <c r="CP11" s="252">
        <v>2.1</v>
      </c>
      <c r="CQ11" s="694" t="s">
        <v>279</v>
      </c>
      <c r="CR11" s="1202"/>
      <c r="CS11" s="897">
        <v>99.000000000000014</v>
      </c>
      <c r="CT11" s="252">
        <v>0.22222222222222221</v>
      </c>
      <c r="CU11" s="252">
        <v>0.22</v>
      </c>
      <c r="CV11" s="293">
        <v>1.1000000000000001</v>
      </c>
      <c r="CW11" s="252">
        <v>0.42</v>
      </c>
      <c r="CX11" s="252">
        <v>2.1</v>
      </c>
      <c r="CY11" s="694" t="s">
        <v>279</v>
      </c>
      <c r="CZ11" s="1202"/>
      <c r="DA11" s="897">
        <v>189.00000000000003</v>
      </c>
      <c r="DB11" s="252">
        <v>0.22222222222222221</v>
      </c>
      <c r="DC11" s="252">
        <v>0.42000000000000004</v>
      </c>
      <c r="DD11" s="293">
        <v>2.1</v>
      </c>
      <c r="DE11" s="252">
        <v>0.42</v>
      </c>
      <c r="DF11" s="252">
        <v>2.1</v>
      </c>
      <c r="DG11" s="694" t="s">
        <v>279</v>
      </c>
      <c r="DH11" s="1202"/>
      <c r="DI11" s="897">
        <v>103.95</v>
      </c>
      <c r="DJ11" s="1209">
        <v>0.1111111111111111</v>
      </c>
      <c r="DK11" s="1209">
        <v>0.11550000000000001</v>
      </c>
      <c r="DL11" s="293">
        <v>0.57750000000000001</v>
      </c>
      <c r="DM11" s="252">
        <v>0.53549999999999998</v>
      </c>
      <c r="DN11" s="252">
        <v>2.6774999999999998</v>
      </c>
      <c r="DO11" s="694" t="s">
        <v>279</v>
      </c>
      <c r="DP11" s="1202"/>
      <c r="DQ11" s="897">
        <v>0</v>
      </c>
      <c r="DR11" s="1209">
        <v>0.1111111111111111</v>
      </c>
      <c r="DS11" s="1209"/>
      <c r="DT11" s="293">
        <v>0</v>
      </c>
      <c r="DU11" s="252">
        <v>0.53549999999999998</v>
      </c>
      <c r="DV11" s="252">
        <v>2.6774999999999998</v>
      </c>
      <c r="DW11" s="694" t="s">
        <v>279</v>
      </c>
      <c r="DX11" s="1202"/>
      <c r="DY11" s="897">
        <v>0</v>
      </c>
      <c r="DZ11" s="1209">
        <v>0.1111111111111111</v>
      </c>
      <c r="EA11" s="1209"/>
      <c r="EB11" s="293">
        <v>0</v>
      </c>
      <c r="EC11" s="245">
        <v>0.53549999999999998</v>
      </c>
      <c r="ED11" s="295">
        <v>2.6774999999999998</v>
      </c>
      <c r="EE11" s="246" t="s">
        <v>279</v>
      </c>
      <c r="EF11" s="323"/>
      <c r="EG11" s="897">
        <v>34.650000000000006</v>
      </c>
      <c r="EH11" s="245">
        <v>0.33333333333333331</v>
      </c>
      <c r="EI11" s="245">
        <v>0.11550000000000001</v>
      </c>
      <c r="EJ11" s="413">
        <v>0.57750000000000001</v>
      </c>
      <c r="EK11" s="245">
        <v>0.53549999999999998</v>
      </c>
      <c r="EL11" s="295">
        <v>2.6774999999999998</v>
      </c>
      <c r="EM11" s="246" t="s">
        <v>279</v>
      </c>
      <c r="EN11" s="323"/>
      <c r="EO11" s="897">
        <v>60.39</v>
      </c>
      <c r="EP11" s="245">
        <v>0.55555555555555558</v>
      </c>
      <c r="EQ11" s="245">
        <v>0.33550000000000002</v>
      </c>
      <c r="ER11" s="413">
        <v>1.6775000000000002</v>
      </c>
      <c r="ES11" s="245">
        <v>0.53549999999999998</v>
      </c>
      <c r="ET11" s="295">
        <v>2.6774999999999998</v>
      </c>
      <c r="EU11" s="246" t="s">
        <v>279</v>
      </c>
      <c r="EV11" s="323"/>
      <c r="EW11" s="897">
        <v>96.390000000000015</v>
      </c>
      <c r="EX11" s="245">
        <v>0.55555555555555558</v>
      </c>
      <c r="EY11" s="245">
        <v>0.53550000000000009</v>
      </c>
      <c r="EZ11" s="413">
        <v>2.6775000000000002</v>
      </c>
      <c r="FA11" s="245">
        <v>0.53549999999999998</v>
      </c>
      <c r="FB11" s="295">
        <v>2.6774999999999998</v>
      </c>
      <c r="FC11" s="246" t="s">
        <v>279</v>
      </c>
    </row>
    <row r="12" spans="2:159" ht="20.100000000000001" customHeight="1">
      <c r="B12" s="1733"/>
      <c r="C12" s="1823"/>
      <c r="D12" s="191" t="s">
        <v>107</v>
      </c>
      <c r="E12" s="886" t="s">
        <v>101</v>
      </c>
      <c r="F12" s="873">
        <v>1</v>
      </c>
      <c r="G12" s="874">
        <v>10</v>
      </c>
      <c r="H12" s="1198"/>
      <c r="I12" s="1206">
        <v>0</v>
      </c>
      <c r="J12" s="291">
        <v>1</v>
      </c>
      <c r="K12" s="313">
        <v>0</v>
      </c>
      <c r="L12" s="293">
        <v>0</v>
      </c>
      <c r="M12" s="1200"/>
      <c r="N12" s="291">
        <v>1</v>
      </c>
      <c r="O12" s="293">
        <v>2</v>
      </c>
      <c r="P12" s="1200"/>
      <c r="Q12" s="291">
        <v>0</v>
      </c>
      <c r="R12" s="313">
        <v>0</v>
      </c>
      <c r="S12" s="293">
        <v>0</v>
      </c>
      <c r="T12" s="1201"/>
      <c r="U12" s="291">
        <v>0</v>
      </c>
      <c r="V12" s="313">
        <v>0</v>
      </c>
      <c r="W12" s="293">
        <v>0</v>
      </c>
      <c r="X12" s="1200"/>
      <c r="Y12" s="291">
        <v>0</v>
      </c>
      <c r="Z12" s="313">
        <v>0</v>
      </c>
      <c r="AA12" s="293">
        <v>0</v>
      </c>
      <c r="AB12" s="1200"/>
      <c r="AC12" s="294">
        <v>0</v>
      </c>
      <c r="AD12" s="252">
        <v>0</v>
      </c>
      <c r="AE12" s="293">
        <v>0</v>
      </c>
      <c r="AF12" s="1202"/>
      <c r="AG12" s="897">
        <v>0</v>
      </c>
      <c r="AH12" s="1207">
        <v>0</v>
      </c>
      <c r="AI12" s="1207">
        <v>0</v>
      </c>
      <c r="AJ12" s="313">
        <v>0</v>
      </c>
      <c r="AK12" s="252">
        <v>0</v>
      </c>
      <c r="AL12" s="252">
        <v>0</v>
      </c>
      <c r="AM12" s="694" t="s">
        <v>279</v>
      </c>
      <c r="AN12" s="1202"/>
      <c r="AO12" s="897">
        <v>0</v>
      </c>
      <c r="AP12" s="1207">
        <v>0</v>
      </c>
      <c r="AQ12" s="1207">
        <v>0</v>
      </c>
      <c r="AR12" s="293">
        <v>0</v>
      </c>
      <c r="AS12" s="252">
        <v>0</v>
      </c>
      <c r="AT12" s="252">
        <v>0</v>
      </c>
      <c r="AU12" s="694" t="s">
        <v>279</v>
      </c>
      <c r="AV12" s="1202"/>
      <c r="AW12" s="897">
        <v>0</v>
      </c>
      <c r="AX12" s="1208">
        <v>0</v>
      </c>
      <c r="AY12" s="1208">
        <v>0</v>
      </c>
      <c r="AZ12" s="293">
        <v>0</v>
      </c>
      <c r="BA12" s="252">
        <v>0</v>
      </c>
      <c r="BB12" s="252">
        <v>0</v>
      </c>
      <c r="BC12" s="694" t="s">
        <v>279</v>
      </c>
      <c r="BD12" s="1202"/>
      <c r="BE12" s="897">
        <v>0</v>
      </c>
      <c r="BF12" s="252">
        <v>0</v>
      </c>
      <c r="BG12" s="252">
        <v>0</v>
      </c>
      <c r="BH12" s="293">
        <v>0</v>
      </c>
      <c r="BI12" s="252">
        <v>0</v>
      </c>
      <c r="BJ12" s="252">
        <v>0</v>
      </c>
      <c r="BK12" s="694" t="s">
        <v>279</v>
      </c>
      <c r="BL12" s="1202"/>
      <c r="BM12" s="897">
        <v>0</v>
      </c>
      <c r="BN12" s="252"/>
      <c r="BO12" s="252">
        <v>0</v>
      </c>
      <c r="BP12" s="293">
        <v>0</v>
      </c>
      <c r="BQ12" s="252">
        <v>0</v>
      </c>
      <c r="BR12" s="252">
        <v>0</v>
      </c>
      <c r="BS12" s="694" t="s">
        <v>279</v>
      </c>
      <c r="BT12" s="1202"/>
      <c r="BU12" s="897">
        <v>0</v>
      </c>
      <c r="BV12" s="1209">
        <v>0</v>
      </c>
      <c r="BW12" s="1209">
        <v>0</v>
      </c>
      <c r="BX12" s="293">
        <v>0</v>
      </c>
      <c r="BY12" s="252">
        <v>0</v>
      </c>
      <c r="BZ12" s="252">
        <v>0</v>
      </c>
      <c r="CA12" s="694" t="s">
        <v>279</v>
      </c>
      <c r="CB12" s="1202"/>
      <c r="CC12" s="897">
        <v>0</v>
      </c>
      <c r="CD12" s="1207">
        <v>0.22222222222222221</v>
      </c>
      <c r="CE12" s="1209">
        <v>0</v>
      </c>
      <c r="CF12" s="293">
        <v>0</v>
      </c>
      <c r="CG12" s="899">
        <v>0</v>
      </c>
      <c r="CH12" s="252">
        <v>0</v>
      </c>
      <c r="CI12" s="694" t="s">
        <v>279</v>
      </c>
      <c r="CJ12" s="1202"/>
      <c r="CK12" s="897">
        <v>0</v>
      </c>
      <c r="CL12" s="1209">
        <v>0.22222222222222221</v>
      </c>
      <c r="CM12" s="1209">
        <v>0</v>
      </c>
      <c r="CN12" s="293">
        <v>0</v>
      </c>
      <c r="CO12" s="252">
        <v>0</v>
      </c>
      <c r="CP12" s="252">
        <v>0</v>
      </c>
      <c r="CQ12" s="694" t="s">
        <v>279</v>
      </c>
      <c r="CR12" s="1202"/>
      <c r="CS12" s="897">
        <v>0</v>
      </c>
      <c r="CT12" s="252">
        <v>0.44444444444444442</v>
      </c>
      <c r="CU12" s="252">
        <v>0</v>
      </c>
      <c r="CV12" s="293">
        <v>0</v>
      </c>
      <c r="CW12" s="252">
        <v>0</v>
      </c>
      <c r="CX12" s="252">
        <v>0</v>
      </c>
      <c r="CY12" s="694" t="s">
        <v>279</v>
      </c>
      <c r="CZ12" s="1202"/>
      <c r="DA12" s="897">
        <v>0</v>
      </c>
      <c r="DB12" s="252">
        <v>0.44444444444444442</v>
      </c>
      <c r="DC12" s="252">
        <v>0</v>
      </c>
      <c r="DD12" s="293">
        <v>0</v>
      </c>
      <c r="DE12" s="252">
        <v>0</v>
      </c>
      <c r="DF12" s="252">
        <v>0</v>
      </c>
      <c r="DG12" s="694" t="s">
        <v>279</v>
      </c>
      <c r="DH12" s="1202"/>
      <c r="DI12" s="897">
        <v>0</v>
      </c>
      <c r="DJ12" s="1209">
        <v>0.22222222222222221</v>
      </c>
      <c r="DK12" s="1209">
        <v>0</v>
      </c>
      <c r="DL12" s="293">
        <v>0</v>
      </c>
      <c r="DM12" s="252">
        <v>0</v>
      </c>
      <c r="DN12" s="252">
        <v>0</v>
      </c>
      <c r="DO12" s="694" t="s">
        <v>279</v>
      </c>
      <c r="DP12" s="1202"/>
      <c r="DQ12" s="897">
        <v>0</v>
      </c>
      <c r="DR12" s="1209">
        <v>0.22222222222222221</v>
      </c>
      <c r="DS12" s="1209"/>
      <c r="DT12" s="293">
        <v>0</v>
      </c>
      <c r="DU12" s="252">
        <v>0</v>
      </c>
      <c r="DV12" s="252">
        <v>0</v>
      </c>
      <c r="DW12" s="694" t="s">
        <v>279</v>
      </c>
      <c r="DX12" s="1202"/>
      <c r="DY12" s="897">
        <v>0</v>
      </c>
      <c r="DZ12" s="1209">
        <v>0.22222222222222221</v>
      </c>
      <c r="EA12" s="1209"/>
      <c r="EB12" s="293">
        <v>0</v>
      </c>
      <c r="EC12" s="245">
        <v>0</v>
      </c>
      <c r="ED12" s="295">
        <v>0</v>
      </c>
      <c r="EE12" s="246" t="s">
        <v>279</v>
      </c>
      <c r="EF12" s="323"/>
      <c r="EG12" s="897">
        <v>0</v>
      </c>
      <c r="EH12" s="245">
        <v>0.66666666666666663</v>
      </c>
      <c r="EI12" s="245">
        <v>0</v>
      </c>
      <c r="EJ12" s="413">
        <v>0</v>
      </c>
      <c r="EK12" s="245">
        <v>0</v>
      </c>
      <c r="EL12" s="295">
        <v>0</v>
      </c>
      <c r="EM12" s="246" t="s">
        <v>279</v>
      </c>
      <c r="EN12" s="323"/>
      <c r="EO12" s="897">
        <v>0</v>
      </c>
      <c r="EP12" s="245">
        <v>1.1111111111111112</v>
      </c>
      <c r="EQ12" s="245">
        <v>0</v>
      </c>
      <c r="ER12" s="413">
        <v>0</v>
      </c>
      <c r="ES12" s="245">
        <v>0</v>
      </c>
      <c r="ET12" s="295">
        <v>0</v>
      </c>
      <c r="EU12" s="246" t="s">
        <v>279</v>
      </c>
      <c r="EV12" s="323"/>
      <c r="EW12" s="897">
        <v>0</v>
      </c>
      <c r="EX12" s="245">
        <v>1.1111111111111112</v>
      </c>
      <c r="EY12" s="245">
        <v>0</v>
      </c>
      <c r="EZ12" s="413">
        <v>0</v>
      </c>
      <c r="FA12" s="245">
        <v>0</v>
      </c>
      <c r="FB12" s="295">
        <v>0</v>
      </c>
      <c r="FC12" s="246" t="s">
        <v>279</v>
      </c>
    </row>
    <row r="13" spans="2:159" ht="49.5" customHeight="1">
      <c r="B13" s="1733"/>
      <c r="C13" s="1823"/>
      <c r="D13" s="191" t="s">
        <v>184</v>
      </c>
      <c r="E13" s="886" t="s">
        <v>101</v>
      </c>
      <c r="F13" s="873">
        <v>160</v>
      </c>
      <c r="G13" s="874">
        <v>10</v>
      </c>
      <c r="H13" s="1198"/>
      <c r="I13" s="1206">
        <v>1.25</v>
      </c>
      <c r="J13" s="291">
        <v>40</v>
      </c>
      <c r="K13" s="313">
        <v>38.4</v>
      </c>
      <c r="L13" s="293">
        <v>2.4</v>
      </c>
      <c r="M13" s="1200"/>
      <c r="N13" s="291">
        <v>40</v>
      </c>
      <c r="O13" s="293">
        <v>41.6</v>
      </c>
      <c r="P13" s="1200"/>
      <c r="Q13" s="291">
        <v>0</v>
      </c>
      <c r="R13" s="313">
        <v>0</v>
      </c>
      <c r="S13" s="293">
        <v>0</v>
      </c>
      <c r="T13" s="1201"/>
      <c r="U13" s="291">
        <v>0</v>
      </c>
      <c r="V13" s="313">
        <v>0</v>
      </c>
      <c r="W13" s="293">
        <v>0</v>
      </c>
      <c r="X13" s="1200"/>
      <c r="Y13" s="291">
        <v>0</v>
      </c>
      <c r="Z13" s="313">
        <v>0</v>
      </c>
      <c r="AA13" s="293">
        <v>0</v>
      </c>
      <c r="AB13" s="1200"/>
      <c r="AC13" s="294">
        <v>0</v>
      </c>
      <c r="AD13" s="252">
        <v>0</v>
      </c>
      <c r="AE13" s="293">
        <v>0</v>
      </c>
      <c r="AF13" s="1202"/>
      <c r="AG13" s="897">
        <v>0</v>
      </c>
      <c r="AH13" s="1207">
        <v>30.533333333333331</v>
      </c>
      <c r="AI13" s="1207">
        <v>0</v>
      </c>
      <c r="AJ13" s="313">
        <v>0</v>
      </c>
      <c r="AK13" s="252">
        <v>0</v>
      </c>
      <c r="AL13" s="252">
        <v>0</v>
      </c>
      <c r="AM13" s="694" t="s">
        <v>279</v>
      </c>
      <c r="AN13" s="1202"/>
      <c r="AO13" s="897">
        <v>1.6375545851528384</v>
      </c>
      <c r="AP13" s="1207">
        <v>30.533333333333331</v>
      </c>
      <c r="AQ13" s="1207">
        <v>0.5</v>
      </c>
      <c r="AR13" s="293">
        <v>3.125E-2</v>
      </c>
      <c r="AS13" s="252">
        <v>0.5</v>
      </c>
      <c r="AT13" s="252">
        <v>3.125E-2</v>
      </c>
      <c r="AU13" s="694" t="s">
        <v>279</v>
      </c>
      <c r="AV13" s="1202"/>
      <c r="AW13" s="897">
        <v>101.52838427947599</v>
      </c>
      <c r="AX13" s="1208">
        <v>30.533333333333331</v>
      </c>
      <c r="AY13" s="1208">
        <v>31</v>
      </c>
      <c r="AZ13" s="293">
        <v>1.9375</v>
      </c>
      <c r="BA13" s="252">
        <v>31.5</v>
      </c>
      <c r="BB13" s="252">
        <v>1.96875</v>
      </c>
      <c r="BC13" s="694" t="s">
        <v>279</v>
      </c>
      <c r="BD13" s="1202"/>
      <c r="BE13" s="897">
        <v>34.388646288209607</v>
      </c>
      <c r="BF13" s="252">
        <v>91.6</v>
      </c>
      <c r="BG13" s="252">
        <v>31.5</v>
      </c>
      <c r="BH13" s="293">
        <v>1.96875</v>
      </c>
      <c r="BI13" s="252">
        <v>31.5</v>
      </c>
      <c r="BJ13" s="252">
        <v>1.96875</v>
      </c>
      <c r="BK13" s="694" t="s">
        <v>279</v>
      </c>
      <c r="BL13" s="1202"/>
      <c r="BM13" s="897">
        <v>0</v>
      </c>
      <c r="BN13" s="252"/>
      <c r="BO13" s="252">
        <v>31.5</v>
      </c>
      <c r="BP13" s="293">
        <v>1.96875</v>
      </c>
      <c r="BQ13" s="252">
        <v>31.5</v>
      </c>
      <c r="BR13" s="252">
        <v>1.96875</v>
      </c>
      <c r="BS13" s="694" t="s">
        <v>279</v>
      </c>
      <c r="BT13" s="1202"/>
      <c r="BU13" s="897">
        <v>0</v>
      </c>
      <c r="BV13" s="1209">
        <v>0</v>
      </c>
      <c r="BW13" s="1209">
        <v>0</v>
      </c>
      <c r="BX13" s="293">
        <v>0</v>
      </c>
      <c r="BY13" s="252">
        <v>31.5</v>
      </c>
      <c r="BZ13" s="252">
        <v>1.96875</v>
      </c>
      <c r="CA13" s="694" t="s">
        <v>279</v>
      </c>
      <c r="CB13" s="1202"/>
      <c r="CC13" s="897">
        <v>0</v>
      </c>
      <c r="CD13" s="1209">
        <v>0</v>
      </c>
      <c r="CE13" s="1209">
        <v>0</v>
      </c>
      <c r="CF13" s="293">
        <v>0</v>
      </c>
      <c r="CG13" s="899">
        <v>31.5</v>
      </c>
      <c r="CH13" s="252">
        <v>1.96875</v>
      </c>
      <c r="CI13" s="694" t="s">
        <v>279</v>
      </c>
      <c r="CJ13" s="1202"/>
      <c r="CK13" s="897">
        <v>99.951923076923066</v>
      </c>
      <c r="CL13" s="1209">
        <v>4.6222222222222227</v>
      </c>
      <c r="CM13" s="1209">
        <v>4.62</v>
      </c>
      <c r="CN13" s="293">
        <v>0.28875000000000001</v>
      </c>
      <c r="CO13" s="252">
        <v>36.119999999999997</v>
      </c>
      <c r="CP13" s="252">
        <v>2.2574999999999998</v>
      </c>
      <c r="CQ13" s="694" t="s">
        <v>279</v>
      </c>
      <c r="CR13" s="1202"/>
      <c r="CS13" s="897">
        <v>99.951923076923066</v>
      </c>
      <c r="CT13" s="252">
        <v>4.6222222222222227</v>
      </c>
      <c r="CU13" s="252">
        <v>4.62</v>
      </c>
      <c r="CV13" s="293">
        <v>0.28875000000000001</v>
      </c>
      <c r="CW13" s="252">
        <v>36.119999999999997</v>
      </c>
      <c r="CX13" s="252">
        <v>2.2574999999999998</v>
      </c>
      <c r="CY13" s="694" t="s">
        <v>279</v>
      </c>
      <c r="CZ13" s="1202"/>
      <c r="DA13" s="897">
        <v>781.44230769230751</v>
      </c>
      <c r="DB13" s="252">
        <v>4.6222222222222227</v>
      </c>
      <c r="DC13" s="252">
        <v>36.119999999999997</v>
      </c>
      <c r="DD13" s="293">
        <v>2.2574999999999998</v>
      </c>
      <c r="DE13" s="252">
        <v>36.119999999999997</v>
      </c>
      <c r="DF13" s="252">
        <v>2.2574999999999998</v>
      </c>
      <c r="DG13" s="694" t="s">
        <v>279</v>
      </c>
      <c r="DH13" s="1202"/>
      <c r="DI13" s="897">
        <v>104.94951923076923</v>
      </c>
      <c r="DJ13" s="1209">
        <v>4.6222222222222227</v>
      </c>
      <c r="DK13" s="1209">
        <v>4.851</v>
      </c>
      <c r="DL13" s="293">
        <v>0.3031875</v>
      </c>
      <c r="DM13" s="252">
        <v>40.970999999999997</v>
      </c>
      <c r="DN13" s="252">
        <v>2.5606874999999993</v>
      </c>
      <c r="DO13" s="694" t="s">
        <v>279</v>
      </c>
      <c r="DP13" s="1202"/>
      <c r="DQ13" s="897">
        <v>0</v>
      </c>
      <c r="DR13" s="1209">
        <v>4.6222222222222227</v>
      </c>
      <c r="DS13" s="1209"/>
      <c r="DT13" s="293">
        <v>0</v>
      </c>
      <c r="DU13" s="252">
        <v>40.970999999999997</v>
      </c>
      <c r="DV13" s="252">
        <v>2.5606874999999993</v>
      </c>
      <c r="DW13" s="694" t="s">
        <v>279</v>
      </c>
      <c r="DX13" s="1202"/>
      <c r="DY13" s="897">
        <v>0</v>
      </c>
      <c r="DZ13" s="1209">
        <v>4.6222222222222227</v>
      </c>
      <c r="EA13" s="1209"/>
      <c r="EB13" s="293">
        <v>0</v>
      </c>
      <c r="EC13" s="245">
        <v>40.970999999999997</v>
      </c>
      <c r="ED13" s="295">
        <v>2.5606874999999993</v>
      </c>
      <c r="EE13" s="246" t="s">
        <v>279</v>
      </c>
      <c r="EF13" s="323"/>
      <c r="EG13" s="897">
        <v>34.983173076923073</v>
      </c>
      <c r="EH13" s="245">
        <v>13.866666666666667</v>
      </c>
      <c r="EI13" s="245">
        <v>4.851</v>
      </c>
      <c r="EJ13" s="413">
        <v>0.3031875</v>
      </c>
      <c r="EK13" s="245">
        <v>40.970999999999997</v>
      </c>
      <c r="EL13" s="295">
        <v>2.5606874999999993</v>
      </c>
      <c r="EM13" s="246" t="s">
        <v>279</v>
      </c>
      <c r="EN13" s="323"/>
      <c r="EO13" s="897">
        <v>51.225360576923073</v>
      </c>
      <c r="EP13" s="245">
        <v>18.488888888888891</v>
      </c>
      <c r="EQ13" s="245">
        <v>9.4710000000000001</v>
      </c>
      <c r="ER13" s="413">
        <v>0.59193750000000001</v>
      </c>
      <c r="ES13" s="245">
        <v>40.970999999999997</v>
      </c>
      <c r="ET13" s="295">
        <v>2.5606874999999993</v>
      </c>
      <c r="EU13" s="246" t="s">
        <v>279</v>
      </c>
      <c r="EV13" s="323"/>
      <c r="EW13" s="897">
        <v>221.59795673076923</v>
      </c>
      <c r="EX13" s="245">
        <v>18.488888888888891</v>
      </c>
      <c r="EY13" s="245">
        <v>40.971000000000004</v>
      </c>
      <c r="EZ13" s="413">
        <v>2.5606875000000002</v>
      </c>
      <c r="FA13" s="245">
        <v>40.970999999999997</v>
      </c>
      <c r="FB13" s="295">
        <v>2.5606874999999993</v>
      </c>
      <c r="FC13" s="246" t="s">
        <v>279</v>
      </c>
    </row>
    <row r="14" spans="2:159" ht="27" customHeight="1">
      <c r="B14" s="1733"/>
      <c r="C14" s="1823"/>
      <c r="D14" s="191" t="s">
        <v>108</v>
      </c>
      <c r="E14" s="886" t="s">
        <v>101</v>
      </c>
      <c r="F14" s="873">
        <v>3</v>
      </c>
      <c r="G14" s="874">
        <v>10</v>
      </c>
      <c r="H14" s="1198"/>
      <c r="I14" s="1206">
        <v>1</v>
      </c>
      <c r="J14" s="291">
        <v>1</v>
      </c>
      <c r="K14" s="313">
        <v>0</v>
      </c>
      <c r="L14" s="293">
        <v>0</v>
      </c>
      <c r="M14" s="1200"/>
      <c r="N14" s="291">
        <v>1</v>
      </c>
      <c r="O14" s="293">
        <v>2</v>
      </c>
      <c r="P14" s="1200"/>
      <c r="Q14" s="291">
        <v>0</v>
      </c>
      <c r="R14" s="313">
        <v>0</v>
      </c>
      <c r="S14" s="293">
        <v>0</v>
      </c>
      <c r="T14" s="1201"/>
      <c r="U14" s="291">
        <v>0</v>
      </c>
      <c r="V14" s="313">
        <v>0</v>
      </c>
      <c r="W14" s="293">
        <v>0</v>
      </c>
      <c r="X14" s="1200"/>
      <c r="Y14" s="291">
        <v>0</v>
      </c>
      <c r="Z14" s="313">
        <v>0</v>
      </c>
      <c r="AA14" s="293">
        <v>0</v>
      </c>
      <c r="AB14" s="1200"/>
      <c r="AC14" s="294">
        <v>0</v>
      </c>
      <c r="AD14" s="252">
        <v>0</v>
      </c>
      <c r="AE14" s="293">
        <v>0</v>
      </c>
      <c r="AF14" s="1202"/>
      <c r="AG14" s="897">
        <v>0</v>
      </c>
      <c r="AH14" s="1207">
        <v>0</v>
      </c>
      <c r="AI14" s="1207">
        <v>0</v>
      </c>
      <c r="AJ14" s="313">
        <v>0</v>
      </c>
      <c r="AK14" s="252">
        <v>0</v>
      </c>
      <c r="AL14" s="252">
        <v>0</v>
      </c>
      <c r="AM14" s="694" t="s">
        <v>279</v>
      </c>
      <c r="AN14" s="1202"/>
      <c r="AO14" s="897">
        <v>0</v>
      </c>
      <c r="AP14" s="1207">
        <v>0</v>
      </c>
      <c r="AQ14" s="1207">
        <v>0</v>
      </c>
      <c r="AR14" s="293">
        <v>0</v>
      </c>
      <c r="AS14" s="252">
        <v>0</v>
      </c>
      <c r="AT14" s="252">
        <v>0</v>
      </c>
      <c r="AU14" s="694" t="s">
        <v>279</v>
      </c>
      <c r="AV14" s="1202"/>
      <c r="AW14" s="897">
        <v>0</v>
      </c>
      <c r="AX14" s="1208">
        <v>0</v>
      </c>
      <c r="AY14" s="1208">
        <v>0</v>
      </c>
      <c r="AZ14" s="293">
        <v>0</v>
      </c>
      <c r="BA14" s="252">
        <v>0</v>
      </c>
      <c r="BB14" s="252">
        <v>0</v>
      </c>
      <c r="BC14" s="694" t="s">
        <v>279</v>
      </c>
      <c r="BD14" s="1202"/>
      <c r="BE14" s="897">
        <v>0</v>
      </c>
      <c r="BF14" s="252">
        <v>0</v>
      </c>
      <c r="BG14" s="252">
        <v>0</v>
      </c>
      <c r="BH14" s="293">
        <v>0</v>
      </c>
      <c r="BI14" s="252">
        <v>0</v>
      </c>
      <c r="BJ14" s="252">
        <v>0</v>
      </c>
      <c r="BK14" s="694" t="s">
        <v>279</v>
      </c>
      <c r="BL14" s="1202"/>
      <c r="BM14" s="897">
        <v>0</v>
      </c>
      <c r="BN14" s="252"/>
      <c r="BO14" s="252">
        <v>0</v>
      </c>
      <c r="BP14" s="293">
        <v>0</v>
      </c>
      <c r="BQ14" s="252">
        <v>0</v>
      </c>
      <c r="BR14" s="252">
        <v>0</v>
      </c>
      <c r="BS14" s="694" t="s">
        <v>279</v>
      </c>
      <c r="BT14" s="1202"/>
      <c r="BU14" s="897">
        <v>0</v>
      </c>
      <c r="BV14" s="1209">
        <v>0</v>
      </c>
      <c r="BW14" s="1209">
        <v>0</v>
      </c>
      <c r="BX14" s="293">
        <v>0</v>
      </c>
      <c r="BY14" s="252">
        <v>0</v>
      </c>
      <c r="BZ14" s="252">
        <v>0</v>
      </c>
      <c r="CA14" s="694" t="s">
        <v>279</v>
      </c>
      <c r="CB14" s="1202"/>
      <c r="CC14" s="897">
        <v>0</v>
      </c>
      <c r="CD14" s="1209">
        <v>0</v>
      </c>
      <c r="CE14" s="1209">
        <v>0</v>
      </c>
      <c r="CF14" s="293">
        <v>0</v>
      </c>
      <c r="CG14" s="899">
        <v>0</v>
      </c>
      <c r="CH14" s="252">
        <v>0</v>
      </c>
      <c r="CI14" s="694" t="s">
        <v>279</v>
      </c>
      <c r="CJ14" s="1202"/>
      <c r="CK14" s="897">
        <v>0</v>
      </c>
      <c r="CL14" s="1209">
        <v>0.22222222222222221</v>
      </c>
      <c r="CM14" s="1209">
        <v>0</v>
      </c>
      <c r="CN14" s="293">
        <v>0</v>
      </c>
      <c r="CO14" s="252">
        <v>0</v>
      </c>
      <c r="CP14" s="252">
        <v>0</v>
      </c>
      <c r="CQ14" s="694" t="s">
        <v>279</v>
      </c>
      <c r="CR14" s="1202"/>
      <c r="CS14" s="897">
        <v>0</v>
      </c>
      <c r="CT14" s="252">
        <v>0.22222222222222221</v>
      </c>
      <c r="CU14" s="252">
        <v>0</v>
      </c>
      <c r="CV14" s="293">
        <v>0</v>
      </c>
      <c r="CW14" s="252">
        <v>0</v>
      </c>
      <c r="CX14" s="252">
        <v>0</v>
      </c>
      <c r="CY14" s="694" t="s">
        <v>279</v>
      </c>
      <c r="CZ14" s="1202"/>
      <c r="DA14" s="897">
        <v>0</v>
      </c>
      <c r="DB14" s="252">
        <v>0.22222222222222221</v>
      </c>
      <c r="DC14" s="252">
        <v>0</v>
      </c>
      <c r="DD14" s="293">
        <v>0</v>
      </c>
      <c r="DE14" s="252">
        <v>0</v>
      </c>
      <c r="DF14" s="252">
        <v>0</v>
      </c>
      <c r="DG14" s="694" t="s">
        <v>279</v>
      </c>
      <c r="DH14" s="1202"/>
      <c r="DI14" s="897">
        <v>0</v>
      </c>
      <c r="DJ14" s="1209">
        <v>0.22222222222222221</v>
      </c>
      <c r="DK14" s="1209">
        <v>0</v>
      </c>
      <c r="DL14" s="293">
        <v>0</v>
      </c>
      <c r="DM14" s="252">
        <v>0</v>
      </c>
      <c r="DN14" s="252">
        <v>0</v>
      </c>
      <c r="DO14" s="694" t="s">
        <v>279</v>
      </c>
      <c r="DP14" s="1202"/>
      <c r="DQ14" s="897">
        <v>0</v>
      </c>
      <c r="DR14" s="1209">
        <v>0.22222222222222221</v>
      </c>
      <c r="DS14" s="1209"/>
      <c r="DT14" s="293">
        <v>0</v>
      </c>
      <c r="DU14" s="252">
        <v>0</v>
      </c>
      <c r="DV14" s="252">
        <v>0</v>
      </c>
      <c r="DW14" s="694" t="s">
        <v>279</v>
      </c>
      <c r="DX14" s="1202"/>
      <c r="DY14" s="897">
        <v>0</v>
      </c>
      <c r="DZ14" s="1209">
        <v>0.22222222222222221</v>
      </c>
      <c r="EA14" s="1209"/>
      <c r="EB14" s="293">
        <v>0</v>
      </c>
      <c r="EC14" s="245">
        <v>0</v>
      </c>
      <c r="ED14" s="295">
        <v>0</v>
      </c>
      <c r="EE14" s="246" t="s">
        <v>279</v>
      </c>
      <c r="EF14" s="323"/>
      <c r="EG14" s="897">
        <v>0</v>
      </c>
      <c r="EH14" s="245">
        <v>0.66666666666666663</v>
      </c>
      <c r="EI14" s="245">
        <v>0</v>
      </c>
      <c r="EJ14" s="413">
        <v>0</v>
      </c>
      <c r="EK14" s="245">
        <v>0</v>
      </c>
      <c r="EL14" s="295">
        <v>0</v>
      </c>
      <c r="EM14" s="246" t="s">
        <v>279</v>
      </c>
      <c r="EN14" s="323"/>
      <c r="EO14" s="897">
        <v>0</v>
      </c>
      <c r="EP14" s="245">
        <v>0.88888888888888884</v>
      </c>
      <c r="EQ14" s="245">
        <v>0</v>
      </c>
      <c r="ER14" s="413">
        <v>0</v>
      </c>
      <c r="ES14" s="245">
        <v>0</v>
      </c>
      <c r="ET14" s="295">
        <v>0</v>
      </c>
      <c r="EU14" s="246" t="s">
        <v>279</v>
      </c>
      <c r="EV14" s="323"/>
      <c r="EW14" s="897">
        <v>0</v>
      </c>
      <c r="EX14" s="245">
        <v>0.88888888888888884</v>
      </c>
      <c r="EY14" s="245">
        <v>0</v>
      </c>
      <c r="EZ14" s="413">
        <v>0</v>
      </c>
      <c r="FA14" s="245">
        <v>0</v>
      </c>
      <c r="FB14" s="295">
        <v>0</v>
      </c>
      <c r="FC14" s="246" t="s">
        <v>279</v>
      </c>
    </row>
    <row r="15" spans="2:159" ht="27.75" customHeight="1">
      <c r="B15" s="1734"/>
      <c r="C15" s="1823"/>
      <c r="D15" s="192" t="s">
        <v>266</v>
      </c>
      <c r="E15" s="887" t="s">
        <v>73</v>
      </c>
      <c r="F15" s="875">
        <v>10000</v>
      </c>
      <c r="G15" s="876">
        <v>5</v>
      </c>
      <c r="H15" s="1198"/>
      <c r="I15" s="1211"/>
      <c r="J15" s="306">
        <v>2500</v>
      </c>
      <c r="K15" s="313">
        <v>0</v>
      </c>
      <c r="L15" s="297">
        <v>0</v>
      </c>
      <c r="M15" s="1200"/>
      <c r="N15" s="306">
        <v>2500</v>
      </c>
      <c r="O15" s="1151">
        <v>5000</v>
      </c>
      <c r="P15" s="1200"/>
      <c r="Q15" s="291">
        <v>0</v>
      </c>
      <c r="R15" s="313">
        <v>0</v>
      </c>
      <c r="S15" s="293">
        <v>0</v>
      </c>
      <c r="T15" s="1201"/>
      <c r="U15" s="291">
        <v>0</v>
      </c>
      <c r="V15" s="313">
        <v>0</v>
      </c>
      <c r="W15" s="293">
        <v>0</v>
      </c>
      <c r="X15" s="1200"/>
      <c r="Y15" s="291">
        <v>10</v>
      </c>
      <c r="Z15" s="313">
        <v>500</v>
      </c>
      <c r="AA15" s="293">
        <v>0.25</v>
      </c>
      <c r="AB15" s="1200"/>
      <c r="AC15" s="294">
        <v>3.3333333333333335</v>
      </c>
      <c r="AD15" s="252">
        <v>166.66666666666669</v>
      </c>
      <c r="AE15" s="293">
        <v>8.3333333333333343E-2</v>
      </c>
      <c r="AF15" s="1202"/>
      <c r="AG15" s="897">
        <v>0</v>
      </c>
      <c r="AH15" s="1212">
        <v>625</v>
      </c>
      <c r="AI15" s="1207">
        <v>0</v>
      </c>
      <c r="AJ15" s="313">
        <v>0</v>
      </c>
      <c r="AK15" s="252">
        <v>166.66666666666669</v>
      </c>
      <c r="AL15" s="252">
        <v>8.3333333333333343E-2</v>
      </c>
      <c r="AM15" s="694" t="s">
        <v>279</v>
      </c>
      <c r="AN15" s="1202"/>
      <c r="AO15" s="897">
        <v>0</v>
      </c>
      <c r="AP15" s="1207">
        <v>625</v>
      </c>
      <c r="AQ15" s="1207">
        <v>0</v>
      </c>
      <c r="AR15" s="293">
        <v>0</v>
      </c>
      <c r="AS15" s="252">
        <v>166.66666666666669</v>
      </c>
      <c r="AT15" s="252">
        <v>8.3333333333333343E-2</v>
      </c>
      <c r="AU15" s="694" t="s">
        <v>279</v>
      </c>
      <c r="AV15" s="1202"/>
      <c r="AW15" s="897">
        <v>0</v>
      </c>
      <c r="AX15" s="1208">
        <v>625</v>
      </c>
      <c r="AY15" s="1208">
        <v>0</v>
      </c>
      <c r="AZ15" s="293">
        <v>0</v>
      </c>
      <c r="BA15" s="252">
        <v>166.66666666666669</v>
      </c>
      <c r="BB15" s="252">
        <v>8.3333333333333343E-2</v>
      </c>
      <c r="BC15" s="694" t="s">
        <v>279</v>
      </c>
      <c r="BD15" s="1202"/>
      <c r="BE15" s="897">
        <v>0</v>
      </c>
      <c r="BF15" s="252">
        <v>1875</v>
      </c>
      <c r="BG15" s="252">
        <v>0</v>
      </c>
      <c r="BH15" s="293">
        <v>0</v>
      </c>
      <c r="BI15" s="252">
        <v>166.66666666666669</v>
      </c>
      <c r="BJ15" s="252">
        <v>8.3333333333333343E-2</v>
      </c>
      <c r="BK15" s="694" t="s">
        <v>279</v>
      </c>
      <c r="BL15" s="1202"/>
      <c r="BM15" s="897">
        <v>0</v>
      </c>
      <c r="BN15" s="252"/>
      <c r="BO15" s="252">
        <v>166.66666666666669</v>
      </c>
      <c r="BP15" s="293">
        <v>8.3333333333333343E-2</v>
      </c>
      <c r="BQ15" s="252">
        <v>166.66666666666669</v>
      </c>
      <c r="BR15" s="252">
        <v>8.3333333333333343E-2</v>
      </c>
      <c r="BS15" s="694" t="s">
        <v>279</v>
      </c>
      <c r="BT15" s="1202"/>
      <c r="BU15" s="897">
        <v>0</v>
      </c>
      <c r="BV15" s="1209">
        <v>0</v>
      </c>
      <c r="BW15" s="1209">
        <v>0</v>
      </c>
      <c r="BX15" s="293">
        <v>0</v>
      </c>
      <c r="BY15" s="252">
        <v>166.66666666666669</v>
      </c>
      <c r="BZ15" s="252">
        <v>8.3333333333333343E-2</v>
      </c>
      <c r="CA15" s="694" t="s">
        <v>279</v>
      </c>
      <c r="CB15" s="1202"/>
      <c r="CC15" s="897">
        <v>0</v>
      </c>
      <c r="CD15" s="1212">
        <v>555.55555555555554</v>
      </c>
      <c r="CE15" s="1209">
        <v>0</v>
      </c>
      <c r="CF15" s="293">
        <v>0</v>
      </c>
      <c r="CG15" s="899">
        <v>166.66666666666669</v>
      </c>
      <c r="CH15" s="252">
        <v>8.3333333333333343E-2</v>
      </c>
      <c r="CI15" s="694" t="s">
        <v>279</v>
      </c>
      <c r="CJ15" s="1202"/>
      <c r="CK15" s="897">
        <v>0</v>
      </c>
      <c r="CL15" s="1209">
        <v>555.55555555555554</v>
      </c>
      <c r="CM15" s="1209">
        <v>0</v>
      </c>
      <c r="CN15" s="293">
        <v>0</v>
      </c>
      <c r="CO15" s="252">
        <v>166.66666666666669</v>
      </c>
      <c r="CP15" s="252">
        <v>8.3333333333333343E-2</v>
      </c>
      <c r="CQ15" s="694" t="s">
        <v>279</v>
      </c>
      <c r="CR15" s="1202"/>
      <c r="CS15" s="897">
        <v>0</v>
      </c>
      <c r="CT15" s="252">
        <v>1111.1111111111111</v>
      </c>
      <c r="CU15" s="252">
        <v>0</v>
      </c>
      <c r="CV15" s="293">
        <v>0</v>
      </c>
      <c r="CW15" s="252">
        <v>166.66666666666669</v>
      </c>
      <c r="CX15" s="252">
        <v>8.3333333333333343E-2</v>
      </c>
      <c r="CY15" s="694" t="s">
        <v>279</v>
      </c>
      <c r="CZ15" s="1202"/>
      <c r="DA15" s="897">
        <v>15.000000000000002</v>
      </c>
      <c r="DB15" s="1150">
        <v>1111.1111111111111</v>
      </c>
      <c r="DC15" s="252">
        <v>166.66666666666669</v>
      </c>
      <c r="DD15" s="293">
        <v>8.3333333333333343E-2</v>
      </c>
      <c r="DE15" s="252">
        <v>166.66666666666669</v>
      </c>
      <c r="DF15" s="252">
        <v>8.3333333333333343E-2</v>
      </c>
      <c r="DG15" s="694" t="s">
        <v>279</v>
      </c>
      <c r="DH15" s="1202"/>
      <c r="DI15" s="897">
        <v>0</v>
      </c>
      <c r="DJ15" s="1209">
        <v>555.55555555555554</v>
      </c>
      <c r="DK15" s="1209">
        <v>0</v>
      </c>
      <c r="DL15" s="293">
        <v>0</v>
      </c>
      <c r="DM15" s="252">
        <v>166.66666666666669</v>
      </c>
      <c r="DN15" s="252">
        <v>8.3333333333333343E-2</v>
      </c>
      <c r="DO15" s="694" t="s">
        <v>279</v>
      </c>
      <c r="DP15" s="1202"/>
      <c r="DQ15" s="897">
        <v>0</v>
      </c>
      <c r="DR15" s="1209">
        <v>555.55555555555554</v>
      </c>
      <c r="DS15" s="1209"/>
      <c r="DT15" s="293">
        <v>0</v>
      </c>
      <c r="DU15" s="252">
        <v>166.66666666666669</v>
      </c>
      <c r="DV15" s="252">
        <v>8.3333333333333343E-2</v>
      </c>
      <c r="DW15" s="694" t="s">
        <v>279</v>
      </c>
      <c r="DX15" s="1202"/>
      <c r="DY15" s="897">
        <v>0</v>
      </c>
      <c r="DZ15" s="1209">
        <v>555.55555555555554</v>
      </c>
      <c r="EA15" s="1209"/>
      <c r="EB15" s="293">
        <v>0</v>
      </c>
      <c r="EC15" s="245">
        <v>166.66666666666669</v>
      </c>
      <c r="ED15" s="295">
        <v>8.3333333333333343E-2</v>
      </c>
      <c r="EE15" s="246" t="s">
        <v>279</v>
      </c>
      <c r="EF15" s="323"/>
      <c r="EG15" s="897">
        <v>0</v>
      </c>
      <c r="EH15" s="1152">
        <v>1666.6666666666665</v>
      </c>
      <c r="EI15" s="245">
        <v>0</v>
      </c>
      <c r="EJ15" s="413">
        <v>0</v>
      </c>
      <c r="EK15" s="245">
        <v>166.66666666666669</v>
      </c>
      <c r="EL15" s="295">
        <v>8.3333333333333343E-2</v>
      </c>
      <c r="EM15" s="246" t="s">
        <v>279</v>
      </c>
      <c r="EN15" s="323"/>
      <c r="EO15" s="897">
        <v>0</v>
      </c>
      <c r="EP15" s="1152">
        <v>2777.7777777777774</v>
      </c>
      <c r="EQ15" s="245">
        <v>0</v>
      </c>
      <c r="ER15" s="413">
        <v>0</v>
      </c>
      <c r="ES15" s="245">
        <v>166.66666666666669</v>
      </c>
      <c r="ET15" s="295">
        <v>8.3333333333333343E-2</v>
      </c>
      <c r="EU15" s="246" t="s">
        <v>279</v>
      </c>
      <c r="EV15" s="323"/>
      <c r="EW15" s="897">
        <v>6.0000000000000018</v>
      </c>
      <c r="EX15" s="1152">
        <v>2777.7777777777774</v>
      </c>
      <c r="EY15" s="245">
        <v>166.66666666666669</v>
      </c>
      <c r="EZ15" s="413">
        <v>8.3333333333333343E-2</v>
      </c>
      <c r="FA15" s="245">
        <v>166.66666666666669</v>
      </c>
      <c r="FB15" s="295">
        <v>8.3333333333333343E-2</v>
      </c>
      <c r="FC15" s="246" t="s">
        <v>279</v>
      </c>
    </row>
    <row r="16" spans="2:159" ht="36.75" customHeight="1">
      <c r="B16" s="1734"/>
      <c r="C16" s="1823"/>
      <c r="D16" s="192" t="s">
        <v>267</v>
      </c>
      <c r="E16" s="887" t="s">
        <v>73</v>
      </c>
      <c r="F16" s="875">
        <v>4000</v>
      </c>
      <c r="G16" s="876">
        <v>5</v>
      </c>
      <c r="H16" s="1198"/>
      <c r="I16" s="1211"/>
      <c r="J16" s="306">
        <v>1000</v>
      </c>
      <c r="K16" s="900">
        <v>0</v>
      </c>
      <c r="L16" s="297">
        <v>0</v>
      </c>
      <c r="M16" s="1200"/>
      <c r="N16" s="306">
        <v>1000</v>
      </c>
      <c r="O16" s="986">
        <v>2000</v>
      </c>
      <c r="P16" s="1200"/>
      <c r="Q16" s="291">
        <v>0</v>
      </c>
      <c r="R16" s="313">
        <v>0</v>
      </c>
      <c r="S16" s="293">
        <v>0</v>
      </c>
      <c r="T16" s="1201"/>
      <c r="U16" s="291">
        <v>0</v>
      </c>
      <c r="V16" s="313">
        <v>0</v>
      </c>
      <c r="W16" s="293">
        <v>0</v>
      </c>
      <c r="X16" s="1200"/>
      <c r="Y16" s="291">
        <v>0</v>
      </c>
      <c r="Z16" s="313">
        <v>0</v>
      </c>
      <c r="AA16" s="293">
        <v>0</v>
      </c>
      <c r="AB16" s="1200"/>
      <c r="AC16" s="294">
        <v>0</v>
      </c>
      <c r="AD16" s="252">
        <v>0</v>
      </c>
      <c r="AE16" s="293">
        <v>0</v>
      </c>
      <c r="AF16" s="1202"/>
      <c r="AG16" s="897">
        <v>0</v>
      </c>
      <c r="AH16" s="1212">
        <v>0</v>
      </c>
      <c r="AI16" s="1207">
        <v>0</v>
      </c>
      <c r="AJ16" s="313">
        <v>0</v>
      </c>
      <c r="AK16" s="252">
        <v>0</v>
      </c>
      <c r="AL16" s="252">
        <v>0</v>
      </c>
      <c r="AM16" s="694" t="s">
        <v>279</v>
      </c>
      <c r="AN16" s="1202"/>
      <c r="AO16" s="897">
        <v>0</v>
      </c>
      <c r="AP16" s="1207">
        <v>0</v>
      </c>
      <c r="AQ16" s="1207">
        <v>0</v>
      </c>
      <c r="AR16" s="293">
        <v>0</v>
      </c>
      <c r="AS16" s="252">
        <v>0</v>
      </c>
      <c r="AT16" s="252">
        <v>0</v>
      </c>
      <c r="AU16" s="694" t="s">
        <v>279</v>
      </c>
      <c r="AV16" s="1202"/>
      <c r="AW16" s="897">
        <v>0</v>
      </c>
      <c r="AX16" s="1208">
        <v>0</v>
      </c>
      <c r="AY16" s="1208">
        <v>0</v>
      </c>
      <c r="AZ16" s="293">
        <v>0</v>
      </c>
      <c r="BA16" s="252">
        <v>0</v>
      </c>
      <c r="BB16" s="252">
        <v>0</v>
      </c>
      <c r="BC16" s="694" t="s">
        <v>279</v>
      </c>
      <c r="BD16" s="1202"/>
      <c r="BE16" s="897">
        <v>0</v>
      </c>
      <c r="BF16" s="252">
        <v>0</v>
      </c>
      <c r="BG16" s="252">
        <v>0</v>
      </c>
      <c r="BH16" s="293">
        <v>0</v>
      </c>
      <c r="BI16" s="252">
        <v>0</v>
      </c>
      <c r="BJ16" s="252">
        <v>0</v>
      </c>
      <c r="BK16" s="694" t="s">
        <v>279</v>
      </c>
      <c r="BL16" s="1202"/>
      <c r="BM16" s="897">
        <v>0</v>
      </c>
      <c r="BN16" s="252"/>
      <c r="BO16" s="252">
        <v>0</v>
      </c>
      <c r="BP16" s="293">
        <v>0</v>
      </c>
      <c r="BQ16" s="252">
        <v>0</v>
      </c>
      <c r="BR16" s="252">
        <v>0</v>
      </c>
      <c r="BS16" s="694" t="s">
        <v>279</v>
      </c>
      <c r="BT16" s="1202"/>
      <c r="BU16" s="897">
        <v>0</v>
      </c>
      <c r="BV16" s="1209">
        <v>0</v>
      </c>
      <c r="BW16" s="1209">
        <v>0</v>
      </c>
      <c r="BX16" s="293">
        <v>0</v>
      </c>
      <c r="BY16" s="252">
        <v>0</v>
      </c>
      <c r="BZ16" s="252">
        <v>0</v>
      </c>
      <c r="CA16" s="694" t="s">
        <v>279</v>
      </c>
      <c r="CB16" s="1202"/>
      <c r="CC16" s="897">
        <v>0</v>
      </c>
      <c r="CD16" s="1212">
        <v>222.22222222222223</v>
      </c>
      <c r="CE16" s="1209">
        <v>0</v>
      </c>
      <c r="CF16" s="293">
        <v>0</v>
      </c>
      <c r="CG16" s="899">
        <v>0</v>
      </c>
      <c r="CH16" s="252">
        <v>0</v>
      </c>
      <c r="CI16" s="694" t="s">
        <v>279</v>
      </c>
      <c r="CJ16" s="1202"/>
      <c r="CK16" s="897">
        <v>0</v>
      </c>
      <c r="CL16" s="1209">
        <v>222.22222222222223</v>
      </c>
      <c r="CM16" s="1209">
        <v>0</v>
      </c>
      <c r="CN16" s="293">
        <v>0</v>
      </c>
      <c r="CO16" s="252">
        <v>0</v>
      </c>
      <c r="CP16" s="252">
        <v>0</v>
      </c>
      <c r="CQ16" s="694" t="s">
        <v>279</v>
      </c>
      <c r="CR16" s="1202"/>
      <c r="CS16" s="897">
        <v>0</v>
      </c>
      <c r="CT16" s="252">
        <v>444.44444444444446</v>
      </c>
      <c r="CU16" s="252">
        <v>0</v>
      </c>
      <c r="CV16" s="293">
        <v>0</v>
      </c>
      <c r="CW16" s="252">
        <v>0</v>
      </c>
      <c r="CX16" s="252">
        <v>0</v>
      </c>
      <c r="CY16" s="694" t="s">
        <v>279</v>
      </c>
      <c r="CZ16" s="1202"/>
      <c r="DA16" s="897">
        <v>0</v>
      </c>
      <c r="DB16" s="252">
        <v>444.44444444444446</v>
      </c>
      <c r="DC16" s="252">
        <v>0</v>
      </c>
      <c r="DD16" s="293">
        <v>0</v>
      </c>
      <c r="DE16" s="252">
        <v>0</v>
      </c>
      <c r="DF16" s="252">
        <v>0</v>
      </c>
      <c r="DG16" s="694" t="s">
        <v>279</v>
      </c>
      <c r="DH16" s="1202"/>
      <c r="DI16" s="897">
        <v>0</v>
      </c>
      <c r="DJ16" s="1209">
        <v>222.22222222222223</v>
      </c>
      <c r="DK16" s="1209">
        <v>0</v>
      </c>
      <c r="DL16" s="293">
        <v>0</v>
      </c>
      <c r="DM16" s="252">
        <v>0</v>
      </c>
      <c r="DN16" s="252">
        <v>0</v>
      </c>
      <c r="DO16" s="694" t="s">
        <v>279</v>
      </c>
      <c r="DP16" s="1202"/>
      <c r="DQ16" s="897">
        <v>0</v>
      </c>
      <c r="DR16" s="1209">
        <v>222.22222222222223</v>
      </c>
      <c r="DS16" s="1209"/>
      <c r="DT16" s="293">
        <v>0</v>
      </c>
      <c r="DU16" s="252">
        <v>0</v>
      </c>
      <c r="DV16" s="252">
        <v>0</v>
      </c>
      <c r="DW16" s="694" t="s">
        <v>279</v>
      </c>
      <c r="DX16" s="1202"/>
      <c r="DY16" s="897">
        <v>0</v>
      </c>
      <c r="DZ16" s="1209">
        <v>222.22222222222223</v>
      </c>
      <c r="EA16" s="1209"/>
      <c r="EB16" s="293">
        <v>0</v>
      </c>
      <c r="EC16" s="245">
        <v>0</v>
      </c>
      <c r="ED16" s="295">
        <v>0</v>
      </c>
      <c r="EE16" s="246" t="s">
        <v>279</v>
      </c>
      <c r="EF16" s="323"/>
      <c r="EG16" s="897">
        <v>0</v>
      </c>
      <c r="EH16" s="1152">
        <v>666.66666666666674</v>
      </c>
      <c r="EI16" s="245">
        <v>0</v>
      </c>
      <c r="EJ16" s="413">
        <v>0</v>
      </c>
      <c r="EK16" s="245">
        <v>0</v>
      </c>
      <c r="EL16" s="295">
        <v>0</v>
      </c>
      <c r="EM16" s="246" t="s">
        <v>279</v>
      </c>
      <c r="EN16" s="323"/>
      <c r="EO16" s="897">
        <v>0</v>
      </c>
      <c r="EP16" s="1152">
        <v>1111.1111111111113</v>
      </c>
      <c r="EQ16" s="245">
        <v>0</v>
      </c>
      <c r="ER16" s="413">
        <v>0</v>
      </c>
      <c r="ES16" s="245">
        <v>0</v>
      </c>
      <c r="ET16" s="295">
        <v>0</v>
      </c>
      <c r="EU16" s="246" t="s">
        <v>279</v>
      </c>
      <c r="EV16" s="323"/>
      <c r="EW16" s="897">
        <v>0</v>
      </c>
      <c r="EX16" s="1152">
        <v>1111.1111111111113</v>
      </c>
      <c r="EY16" s="245">
        <v>0</v>
      </c>
      <c r="EZ16" s="413">
        <v>0</v>
      </c>
      <c r="FA16" s="245">
        <v>0</v>
      </c>
      <c r="FB16" s="295">
        <v>0</v>
      </c>
      <c r="FC16" s="246" t="s">
        <v>279</v>
      </c>
    </row>
    <row r="17" spans="2:159" ht="24" customHeight="1">
      <c r="B17" s="1734"/>
      <c r="C17" s="1823"/>
      <c r="D17" s="192" t="s">
        <v>265</v>
      </c>
      <c r="E17" s="887" t="s">
        <v>785</v>
      </c>
      <c r="F17" s="875">
        <v>15000</v>
      </c>
      <c r="G17" s="876">
        <v>10</v>
      </c>
      <c r="H17" s="1198"/>
      <c r="I17" s="1211"/>
      <c r="J17" s="306">
        <v>1500</v>
      </c>
      <c r="K17" s="900">
        <v>0</v>
      </c>
      <c r="L17" s="297">
        <v>0</v>
      </c>
      <c r="M17" s="1200"/>
      <c r="N17" s="306">
        <v>1500</v>
      </c>
      <c r="O17" s="986">
        <v>3000</v>
      </c>
      <c r="P17" s="1200"/>
      <c r="Q17" s="291">
        <v>0</v>
      </c>
      <c r="R17" s="313">
        <v>0</v>
      </c>
      <c r="S17" s="293">
        <v>0</v>
      </c>
      <c r="T17" s="1201"/>
      <c r="U17" s="291">
        <v>0</v>
      </c>
      <c r="V17" s="313">
        <v>0</v>
      </c>
      <c r="W17" s="293">
        <v>0</v>
      </c>
      <c r="X17" s="1200"/>
      <c r="Y17" s="291">
        <v>0</v>
      </c>
      <c r="Z17" s="313">
        <v>0</v>
      </c>
      <c r="AA17" s="293">
        <v>0</v>
      </c>
      <c r="AB17" s="1200"/>
      <c r="AC17" s="294">
        <v>0</v>
      </c>
      <c r="AD17" s="252">
        <v>0</v>
      </c>
      <c r="AE17" s="293">
        <v>0</v>
      </c>
      <c r="AF17" s="1202"/>
      <c r="AG17" s="897">
        <v>0</v>
      </c>
      <c r="AH17" s="1212">
        <v>3000</v>
      </c>
      <c r="AI17" s="1207">
        <v>0</v>
      </c>
      <c r="AJ17" s="313">
        <v>0</v>
      </c>
      <c r="AK17" s="252">
        <v>0</v>
      </c>
      <c r="AL17" s="252">
        <v>0</v>
      </c>
      <c r="AM17" s="694" t="s">
        <v>279</v>
      </c>
      <c r="AN17" s="1202"/>
      <c r="AO17" s="897">
        <v>0</v>
      </c>
      <c r="AP17" s="1207">
        <v>0</v>
      </c>
      <c r="AQ17" s="1207">
        <v>0</v>
      </c>
      <c r="AR17" s="293">
        <v>0</v>
      </c>
      <c r="AS17" s="252">
        <v>0</v>
      </c>
      <c r="AT17" s="252">
        <v>0</v>
      </c>
      <c r="AU17" s="694" t="s">
        <v>279</v>
      </c>
      <c r="AV17" s="1202"/>
      <c r="AW17" s="897">
        <v>0</v>
      </c>
      <c r="AX17" s="1208">
        <v>0</v>
      </c>
      <c r="AY17" s="1208">
        <v>0</v>
      </c>
      <c r="AZ17" s="293">
        <v>0</v>
      </c>
      <c r="BA17" s="252">
        <v>0</v>
      </c>
      <c r="BB17" s="252">
        <v>0</v>
      </c>
      <c r="BC17" s="694" t="s">
        <v>279</v>
      </c>
      <c r="BD17" s="1202"/>
      <c r="BE17" s="897">
        <v>0</v>
      </c>
      <c r="BF17" s="252">
        <v>3000</v>
      </c>
      <c r="BG17" s="252">
        <v>0</v>
      </c>
      <c r="BH17" s="293">
        <v>0</v>
      </c>
      <c r="BI17" s="252">
        <v>0</v>
      </c>
      <c r="BJ17" s="252">
        <v>0</v>
      </c>
      <c r="BK17" s="694" t="s">
        <v>279</v>
      </c>
      <c r="BL17" s="1202"/>
      <c r="BM17" s="897">
        <v>0</v>
      </c>
      <c r="BN17" s="252"/>
      <c r="BO17" s="252">
        <v>0</v>
      </c>
      <c r="BP17" s="293">
        <v>0</v>
      </c>
      <c r="BQ17" s="252">
        <v>0</v>
      </c>
      <c r="BR17" s="252">
        <v>0</v>
      </c>
      <c r="BS17" s="694" t="s">
        <v>279</v>
      </c>
      <c r="BT17" s="1202"/>
      <c r="BU17" s="897">
        <v>0</v>
      </c>
      <c r="BV17" s="1209">
        <v>0</v>
      </c>
      <c r="BW17" s="1209">
        <v>0</v>
      </c>
      <c r="BX17" s="293">
        <v>0</v>
      </c>
      <c r="BY17" s="252">
        <v>0</v>
      </c>
      <c r="BZ17" s="252">
        <v>0</v>
      </c>
      <c r="CA17" s="694" t="s">
        <v>279</v>
      </c>
      <c r="CB17" s="1202"/>
      <c r="CC17" s="897">
        <v>0</v>
      </c>
      <c r="CD17" s="1212">
        <v>333.33333333333331</v>
      </c>
      <c r="CE17" s="1209">
        <v>0</v>
      </c>
      <c r="CF17" s="293">
        <v>0</v>
      </c>
      <c r="CG17" s="899">
        <v>0</v>
      </c>
      <c r="CH17" s="252">
        <v>0</v>
      </c>
      <c r="CI17" s="694" t="s">
        <v>279</v>
      </c>
      <c r="CJ17" s="1202"/>
      <c r="CK17" s="897">
        <v>0</v>
      </c>
      <c r="CL17" s="1209">
        <v>333.33333333333331</v>
      </c>
      <c r="CM17" s="1209">
        <v>0</v>
      </c>
      <c r="CN17" s="293">
        <v>0</v>
      </c>
      <c r="CO17" s="252">
        <v>0</v>
      </c>
      <c r="CP17" s="252">
        <v>0</v>
      </c>
      <c r="CQ17" s="694" t="s">
        <v>279</v>
      </c>
      <c r="CR17" s="1202"/>
      <c r="CS17" s="897">
        <v>0</v>
      </c>
      <c r="CT17" s="252">
        <v>666.66666666666663</v>
      </c>
      <c r="CU17" s="252">
        <v>0</v>
      </c>
      <c r="CV17" s="293">
        <v>0</v>
      </c>
      <c r="CW17" s="252">
        <v>0</v>
      </c>
      <c r="CX17" s="252">
        <v>0</v>
      </c>
      <c r="CY17" s="694" t="s">
        <v>279</v>
      </c>
      <c r="CZ17" s="1202"/>
      <c r="DA17" s="897">
        <v>0</v>
      </c>
      <c r="DB17" s="252">
        <v>666.66666666666663</v>
      </c>
      <c r="DC17" s="252">
        <v>0</v>
      </c>
      <c r="DD17" s="293">
        <v>0</v>
      </c>
      <c r="DE17" s="252">
        <v>0</v>
      </c>
      <c r="DF17" s="252">
        <v>0</v>
      </c>
      <c r="DG17" s="694" t="s">
        <v>279</v>
      </c>
      <c r="DH17" s="1202"/>
      <c r="DI17" s="897">
        <v>0</v>
      </c>
      <c r="DJ17" s="1209">
        <v>333.33333333333331</v>
      </c>
      <c r="DK17" s="1209">
        <v>0</v>
      </c>
      <c r="DL17" s="293">
        <v>0</v>
      </c>
      <c r="DM17" s="252">
        <v>0</v>
      </c>
      <c r="DN17" s="252">
        <v>0</v>
      </c>
      <c r="DO17" s="694" t="s">
        <v>279</v>
      </c>
      <c r="DP17" s="1202"/>
      <c r="DQ17" s="897">
        <v>0</v>
      </c>
      <c r="DR17" s="1209">
        <v>333.33333333333331</v>
      </c>
      <c r="DS17" s="1209"/>
      <c r="DT17" s="293">
        <v>0</v>
      </c>
      <c r="DU17" s="252">
        <v>0</v>
      </c>
      <c r="DV17" s="252">
        <v>0</v>
      </c>
      <c r="DW17" s="694" t="s">
        <v>279</v>
      </c>
      <c r="DX17" s="1202"/>
      <c r="DY17" s="897">
        <v>0</v>
      </c>
      <c r="DZ17" s="1209">
        <v>333.33333333333331</v>
      </c>
      <c r="EA17" s="1209"/>
      <c r="EB17" s="293">
        <v>0</v>
      </c>
      <c r="EC17" s="245">
        <v>0</v>
      </c>
      <c r="ED17" s="295">
        <v>0</v>
      </c>
      <c r="EE17" s="246" t="s">
        <v>279</v>
      </c>
      <c r="EF17" s="323"/>
      <c r="EG17" s="897">
        <v>0</v>
      </c>
      <c r="EH17" s="1152">
        <v>1000</v>
      </c>
      <c r="EI17" s="245">
        <v>0</v>
      </c>
      <c r="EJ17" s="413">
        <v>0</v>
      </c>
      <c r="EK17" s="245">
        <v>0</v>
      </c>
      <c r="EL17" s="295">
        <v>0</v>
      </c>
      <c r="EM17" s="246" t="s">
        <v>279</v>
      </c>
      <c r="EN17" s="323"/>
      <c r="EO17" s="897">
        <v>0</v>
      </c>
      <c r="EP17" s="1152">
        <v>1666.6666666666665</v>
      </c>
      <c r="EQ17" s="245">
        <v>0</v>
      </c>
      <c r="ER17" s="413">
        <v>0</v>
      </c>
      <c r="ES17" s="245">
        <v>0</v>
      </c>
      <c r="ET17" s="295">
        <v>0</v>
      </c>
      <c r="EU17" s="246" t="s">
        <v>279</v>
      </c>
      <c r="EV17" s="323"/>
      <c r="EW17" s="897">
        <v>0</v>
      </c>
      <c r="EX17" s="1152">
        <v>1666.6666666666665</v>
      </c>
      <c r="EY17" s="245">
        <v>0</v>
      </c>
      <c r="EZ17" s="413">
        <v>0</v>
      </c>
      <c r="FA17" s="245">
        <v>0</v>
      </c>
      <c r="FB17" s="295">
        <v>0</v>
      </c>
      <c r="FC17" s="246" t="s">
        <v>279</v>
      </c>
    </row>
    <row r="18" spans="2:159" ht="31.5" customHeight="1">
      <c r="B18" s="1734"/>
      <c r="C18" s="1823"/>
      <c r="D18" s="192" t="s">
        <v>270</v>
      </c>
      <c r="E18" s="888" t="s">
        <v>272</v>
      </c>
      <c r="F18" s="875">
        <v>40</v>
      </c>
      <c r="G18" s="876">
        <v>5</v>
      </c>
      <c r="H18" s="1198"/>
      <c r="I18" s="1211"/>
      <c r="J18" s="296">
        <v>0</v>
      </c>
      <c r="K18" s="900">
        <v>0</v>
      </c>
      <c r="L18" s="297">
        <v>0</v>
      </c>
      <c r="M18" s="1200"/>
      <c r="N18" s="901">
        <v>10</v>
      </c>
      <c r="O18" s="902">
        <v>10</v>
      </c>
      <c r="P18" s="1200"/>
      <c r="Q18" s="291">
        <v>100</v>
      </c>
      <c r="R18" s="313">
        <v>10</v>
      </c>
      <c r="S18" s="293">
        <v>1.25</v>
      </c>
      <c r="T18" s="1201"/>
      <c r="U18" s="291">
        <v>100</v>
      </c>
      <c r="V18" s="313">
        <v>10</v>
      </c>
      <c r="W18" s="293">
        <v>1.25</v>
      </c>
      <c r="X18" s="1200"/>
      <c r="Y18" s="291">
        <v>100</v>
      </c>
      <c r="Z18" s="313">
        <v>10</v>
      </c>
      <c r="AA18" s="293">
        <v>1.25</v>
      </c>
      <c r="AB18" s="1200"/>
      <c r="AC18" s="294">
        <v>100</v>
      </c>
      <c r="AD18" s="252">
        <v>10</v>
      </c>
      <c r="AE18" s="293">
        <v>1.25</v>
      </c>
      <c r="AF18" s="1202"/>
      <c r="AG18" s="897">
        <v>100</v>
      </c>
      <c r="AH18" s="1212">
        <v>10</v>
      </c>
      <c r="AI18" s="1207">
        <v>10</v>
      </c>
      <c r="AJ18" s="313">
        <v>1.25</v>
      </c>
      <c r="AK18" s="252">
        <v>20</v>
      </c>
      <c r="AL18" s="252">
        <v>2.5</v>
      </c>
      <c r="AM18" s="694" t="s">
        <v>279</v>
      </c>
      <c r="AN18" s="1202"/>
      <c r="AO18" s="897">
        <v>0</v>
      </c>
      <c r="AP18" s="1212">
        <v>0</v>
      </c>
      <c r="AQ18" s="1207">
        <v>0</v>
      </c>
      <c r="AR18" s="293">
        <v>0</v>
      </c>
      <c r="AS18" s="252">
        <v>20</v>
      </c>
      <c r="AT18" s="252">
        <v>2.5</v>
      </c>
      <c r="AU18" s="694" t="s">
        <v>279</v>
      </c>
      <c r="AV18" s="1202"/>
      <c r="AW18" s="897">
        <v>0</v>
      </c>
      <c r="AX18" s="1208">
        <v>0</v>
      </c>
      <c r="AY18" s="1208">
        <v>0</v>
      </c>
      <c r="AZ18" s="293">
        <v>0</v>
      </c>
      <c r="BA18" s="252">
        <v>20</v>
      </c>
      <c r="BB18" s="252">
        <v>2.5</v>
      </c>
      <c r="BC18" s="694" t="s">
        <v>279</v>
      </c>
      <c r="BD18" s="1202"/>
      <c r="BE18" s="897">
        <v>100</v>
      </c>
      <c r="BF18" s="252">
        <v>10</v>
      </c>
      <c r="BG18" s="252">
        <v>10</v>
      </c>
      <c r="BH18" s="903">
        <v>1.25</v>
      </c>
      <c r="BI18" s="252">
        <v>20</v>
      </c>
      <c r="BJ18" s="252">
        <v>2.5</v>
      </c>
      <c r="BK18" s="694" t="s">
        <v>279</v>
      </c>
      <c r="BL18" s="1202"/>
      <c r="BM18" s="897">
        <v>0</v>
      </c>
      <c r="BN18" s="252"/>
      <c r="BO18" s="252">
        <v>20</v>
      </c>
      <c r="BP18" s="903">
        <v>2.5</v>
      </c>
      <c r="BQ18" s="252">
        <v>20</v>
      </c>
      <c r="BR18" s="252">
        <v>2.5</v>
      </c>
      <c r="BS18" s="694" t="s">
        <v>279</v>
      </c>
      <c r="BT18" s="1202"/>
      <c r="BU18" s="897">
        <v>0</v>
      </c>
      <c r="BV18" s="1209">
        <v>0</v>
      </c>
      <c r="BW18" s="1209">
        <v>0</v>
      </c>
      <c r="BX18" s="293">
        <v>0</v>
      </c>
      <c r="BY18" s="252">
        <v>20</v>
      </c>
      <c r="BZ18" s="252">
        <v>2.5</v>
      </c>
      <c r="CA18" s="694" t="s">
        <v>279</v>
      </c>
      <c r="CB18" s="1202"/>
      <c r="CC18" s="897">
        <v>0</v>
      </c>
      <c r="CD18" s="1212">
        <v>0</v>
      </c>
      <c r="CE18" s="1209">
        <v>0</v>
      </c>
      <c r="CF18" s="293">
        <v>0</v>
      </c>
      <c r="CG18" s="899">
        <v>20</v>
      </c>
      <c r="CH18" s="252">
        <v>2.5</v>
      </c>
      <c r="CI18" s="694" t="s">
        <v>279</v>
      </c>
      <c r="CJ18" s="1202"/>
      <c r="CK18" s="897">
        <v>99.9</v>
      </c>
      <c r="CL18" s="1209">
        <v>1.1111111111111112</v>
      </c>
      <c r="CM18" s="1209">
        <v>1.1100000000000001</v>
      </c>
      <c r="CN18" s="293">
        <v>0.13875000000000001</v>
      </c>
      <c r="CO18" s="252">
        <v>21.11</v>
      </c>
      <c r="CP18" s="252">
        <v>2.6387499999999999</v>
      </c>
      <c r="CQ18" s="694" t="s">
        <v>279</v>
      </c>
      <c r="CR18" s="1202"/>
      <c r="CS18" s="897">
        <v>99.9</v>
      </c>
      <c r="CT18" s="252">
        <v>1.1111111111111112</v>
      </c>
      <c r="CU18" s="252">
        <v>1.1100000000000001</v>
      </c>
      <c r="CV18" s="293">
        <v>0.13875000000000001</v>
      </c>
      <c r="CW18" s="252">
        <v>21.11</v>
      </c>
      <c r="CX18" s="252">
        <v>2.6387499999999999</v>
      </c>
      <c r="CY18" s="694" t="s">
        <v>279</v>
      </c>
      <c r="CZ18" s="1202"/>
      <c r="DA18" s="897">
        <v>1899.8999999999999</v>
      </c>
      <c r="DB18" s="252">
        <v>1.1111111111111112</v>
      </c>
      <c r="DC18" s="252">
        <v>21.11</v>
      </c>
      <c r="DD18" s="293">
        <v>2.6387499999999999</v>
      </c>
      <c r="DE18" s="252">
        <v>21.11</v>
      </c>
      <c r="DF18" s="252">
        <v>2.6387499999999999</v>
      </c>
      <c r="DG18" s="694" t="s">
        <v>279</v>
      </c>
      <c r="DH18" s="1202"/>
      <c r="DI18" s="897">
        <v>104.89500000000001</v>
      </c>
      <c r="DJ18" s="1209">
        <v>1.1111111111111112</v>
      </c>
      <c r="DK18" s="1209">
        <v>1.1655000000000002</v>
      </c>
      <c r="DL18" s="293">
        <v>0.14568750000000003</v>
      </c>
      <c r="DM18" s="252">
        <v>22.275500000000001</v>
      </c>
      <c r="DN18" s="252">
        <v>2.7844375000000001</v>
      </c>
      <c r="DO18" s="694" t="s">
        <v>279</v>
      </c>
      <c r="DP18" s="1202"/>
      <c r="DQ18" s="897">
        <v>0</v>
      </c>
      <c r="DR18" s="1209">
        <v>1.1111111111111112</v>
      </c>
      <c r="DS18" s="1209"/>
      <c r="DT18" s="293">
        <v>0</v>
      </c>
      <c r="DU18" s="252">
        <v>22.275500000000001</v>
      </c>
      <c r="DV18" s="252">
        <v>2.7844375000000001</v>
      </c>
      <c r="DW18" s="694" t="s">
        <v>279</v>
      </c>
      <c r="DX18" s="1202"/>
      <c r="DY18" s="897">
        <v>0</v>
      </c>
      <c r="DZ18" s="1209">
        <v>1.1111111111111112</v>
      </c>
      <c r="EA18" s="1209"/>
      <c r="EB18" s="293">
        <v>0</v>
      </c>
      <c r="EC18" s="245">
        <v>22.275500000000001</v>
      </c>
      <c r="ED18" s="295">
        <v>2.7844375000000001</v>
      </c>
      <c r="EE18" s="246" t="s">
        <v>279</v>
      </c>
      <c r="EF18" s="323"/>
      <c r="EG18" s="897">
        <v>34.965000000000011</v>
      </c>
      <c r="EH18" s="245">
        <v>3.3333333333333335</v>
      </c>
      <c r="EI18" s="245">
        <v>1.1655000000000002</v>
      </c>
      <c r="EJ18" s="413">
        <v>0.14568750000000003</v>
      </c>
      <c r="EK18" s="245">
        <v>22.275500000000001</v>
      </c>
      <c r="EL18" s="295">
        <v>2.7844375000000001</v>
      </c>
      <c r="EM18" s="246" t="s">
        <v>279</v>
      </c>
      <c r="EN18" s="323"/>
      <c r="EO18" s="897">
        <v>51.198750000000004</v>
      </c>
      <c r="EP18" s="245">
        <v>4.4444444444444446</v>
      </c>
      <c r="EQ18" s="245">
        <v>2.2755000000000001</v>
      </c>
      <c r="ER18" s="413">
        <v>0.28443750000000001</v>
      </c>
      <c r="ES18" s="245">
        <v>22.275500000000001</v>
      </c>
      <c r="ET18" s="295">
        <v>2.7844375000000001</v>
      </c>
      <c r="EU18" s="246" t="s">
        <v>279</v>
      </c>
      <c r="EV18" s="323"/>
      <c r="EW18" s="897">
        <v>501.19875000000002</v>
      </c>
      <c r="EX18" s="245">
        <v>4.4444444444444446</v>
      </c>
      <c r="EY18" s="245">
        <v>22.275500000000001</v>
      </c>
      <c r="EZ18" s="413">
        <v>2.7844375000000001</v>
      </c>
      <c r="FA18" s="245">
        <v>22.275500000000001</v>
      </c>
      <c r="FB18" s="295">
        <v>2.7844375000000001</v>
      </c>
      <c r="FC18" s="246" t="s">
        <v>279</v>
      </c>
    </row>
    <row r="19" spans="2:159" ht="24.75" customHeight="1">
      <c r="B19" s="1734"/>
      <c r="C19" s="1823"/>
      <c r="D19" s="192" t="s">
        <v>271</v>
      </c>
      <c r="E19" s="888" t="s">
        <v>273</v>
      </c>
      <c r="F19" s="875">
        <v>4000</v>
      </c>
      <c r="G19" s="876">
        <v>5</v>
      </c>
      <c r="H19" s="1198"/>
      <c r="I19" s="1211"/>
      <c r="J19" s="296">
        <v>0</v>
      </c>
      <c r="K19" s="900">
        <v>0</v>
      </c>
      <c r="L19" s="297">
        <v>0</v>
      </c>
      <c r="M19" s="1200"/>
      <c r="N19" s="1149">
        <v>500</v>
      </c>
      <c r="O19" s="987">
        <v>500</v>
      </c>
      <c r="P19" s="1200"/>
      <c r="Q19" s="291">
        <v>30</v>
      </c>
      <c r="R19" s="313">
        <v>150</v>
      </c>
      <c r="S19" s="293">
        <v>0.1875</v>
      </c>
      <c r="T19" s="1201"/>
      <c r="U19" s="291">
        <v>50</v>
      </c>
      <c r="V19" s="313">
        <v>250</v>
      </c>
      <c r="W19" s="293">
        <v>0.3125</v>
      </c>
      <c r="X19" s="1200"/>
      <c r="Y19" s="291">
        <v>50</v>
      </c>
      <c r="Z19" s="313">
        <v>250</v>
      </c>
      <c r="AA19" s="293">
        <v>0.3125</v>
      </c>
      <c r="AB19" s="1200"/>
      <c r="AC19" s="294">
        <v>43.333333333333336</v>
      </c>
      <c r="AD19" s="252">
        <v>216.66666666666669</v>
      </c>
      <c r="AE19" s="293">
        <v>0.27083333333333337</v>
      </c>
      <c r="AF19" s="1202"/>
      <c r="AG19" s="897">
        <v>487.36842105263156</v>
      </c>
      <c r="AH19" s="1212">
        <v>95</v>
      </c>
      <c r="AI19" s="1207">
        <v>463</v>
      </c>
      <c r="AJ19" s="313">
        <v>0.57874999999999999</v>
      </c>
      <c r="AK19" s="252">
        <v>679.66666666666674</v>
      </c>
      <c r="AL19" s="252">
        <v>0.84958333333333347</v>
      </c>
      <c r="AM19" s="694" t="s">
        <v>279</v>
      </c>
      <c r="AN19" s="1202"/>
      <c r="AO19" s="897">
        <v>487.36842105263156</v>
      </c>
      <c r="AP19" s="1212">
        <v>95</v>
      </c>
      <c r="AQ19" s="1207">
        <v>463</v>
      </c>
      <c r="AR19" s="252">
        <v>0.57874999999999999</v>
      </c>
      <c r="AS19" s="252">
        <v>1142.6666666666667</v>
      </c>
      <c r="AT19" s="252">
        <v>1.4283333333333335</v>
      </c>
      <c r="AU19" s="694" t="s">
        <v>279</v>
      </c>
      <c r="AV19" s="1202"/>
      <c r="AW19" s="897">
        <v>127.65957446808511</v>
      </c>
      <c r="AX19" s="1208">
        <v>94</v>
      </c>
      <c r="AY19" s="1208">
        <v>120</v>
      </c>
      <c r="AZ19" s="252">
        <v>0.15</v>
      </c>
      <c r="BA19" s="252">
        <v>1262.6666666666667</v>
      </c>
      <c r="BB19" s="252">
        <v>1.5783333333333336</v>
      </c>
      <c r="BC19" s="694" t="s">
        <v>279</v>
      </c>
      <c r="BD19" s="1202"/>
      <c r="BE19" s="897">
        <v>368.3098591549296</v>
      </c>
      <c r="BF19" s="252">
        <v>284</v>
      </c>
      <c r="BG19" s="252">
        <v>1046</v>
      </c>
      <c r="BH19" s="293">
        <v>1.3075000000000001</v>
      </c>
      <c r="BI19" s="252">
        <v>1262.6666666666667</v>
      </c>
      <c r="BJ19" s="252">
        <v>1.5783333333333336</v>
      </c>
      <c r="BK19" s="694" t="s">
        <v>279</v>
      </c>
      <c r="BL19" s="1202"/>
      <c r="BM19" s="897">
        <v>0</v>
      </c>
      <c r="BN19" s="252"/>
      <c r="BO19" s="252">
        <v>1262.6666666666667</v>
      </c>
      <c r="BP19" s="293">
        <v>1.5783333333333336</v>
      </c>
      <c r="BQ19" s="252">
        <v>1262.6666666666667</v>
      </c>
      <c r="BR19" s="252">
        <v>1.5783333333333336</v>
      </c>
      <c r="BS19" s="694" t="s">
        <v>279</v>
      </c>
      <c r="BT19" s="1202"/>
      <c r="BU19" s="897">
        <v>0</v>
      </c>
      <c r="BV19" s="1209">
        <v>0</v>
      </c>
      <c r="BW19" s="1209">
        <v>0</v>
      </c>
      <c r="BX19" s="252">
        <v>0</v>
      </c>
      <c r="BY19" s="252">
        <v>1262.6666666666667</v>
      </c>
      <c r="BZ19" s="252">
        <v>1.5783333333333336</v>
      </c>
      <c r="CA19" s="694" t="s">
        <v>279</v>
      </c>
      <c r="CB19" s="1202"/>
      <c r="CC19" s="897">
        <v>0</v>
      </c>
      <c r="CD19" s="1209">
        <v>0</v>
      </c>
      <c r="CE19" s="1209">
        <v>0</v>
      </c>
      <c r="CF19" s="293">
        <v>0</v>
      </c>
      <c r="CG19" s="899">
        <v>1262.6666666666667</v>
      </c>
      <c r="CH19" s="252">
        <v>1.5783333333333336</v>
      </c>
      <c r="CI19" s="694" t="s">
        <v>279</v>
      </c>
      <c r="CJ19" s="1202"/>
      <c r="CK19" s="897">
        <v>100.00800000000001</v>
      </c>
      <c r="CL19" s="1209">
        <v>55.555555555555557</v>
      </c>
      <c r="CM19" s="1209">
        <v>55.56</v>
      </c>
      <c r="CN19" s="293">
        <v>6.9450000000000012E-2</v>
      </c>
      <c r="CO19" s="252">
        <v>1318.2266666666667</v>
      </c>
      <c r="CP19" s="252">
        <v>1.6477833333333334</v>
      </c>
      <c r="CQ19" s="694" t="s">
        <v>279</v>
      </c>
      <c r="CR19" s="1202"/>
      <c r="CS19" s="897">
        <v>100.00800000000001</v>
      </c>
      <c r="CT19" s="252">
        <v>55.555555555555557</v>
      </c>
      <c r="CU19" s="252">
        <v>55.56</v>
      </c>
      <c r="CV19" s="293">
        <v>6.9450000000000012E-2</v>
      </c>
      <c r="CW19" s="252">
        <v>1318.2266666666667</v>
      </c>
      <c r="CX19" s="252">
        <v>1.6477833333333334</v>
      </c>
      <c r="CY19" s="694" t="s">
        <v>279</v>
      </c>
      <c r="CZ19" s="1202"/>
      <c r="DA19" s="897">
        <v>2372.808</v>
      </c>
      <c r="DB19" s="252">
        <v>55.555555555555557</v>
      </c>
      <c r="DC19" s="252">
        <v>1318.2266666666667</v>
      </c>
      <c r="DD19" s="293">
        <v>1.6477833333333334</v>
      </c>
      <c r="DE19" s="252">
        <v>1318.2266666666667</v>
      </c>
      <c r="DF19" s="252">
        <v>1.6477833333333334</v>
      </c>
      <c r="DG19" s="694" t="s">
        <v>279</v>
      </c>
      <c r="DH19" s="1202"/>
      <c r="DI19" s="897">
        <v>105.00839999999999</v>
      </c>
      <c r="DJ19" s="1209">
        <v>55.555555555555557</v>
      </c>
      <c r="DK19" s="1209">
        <v>58.338000000000001</v>
      </c>
      <c r="DL19" s="293">
        <v>7.2922500000000001E-2</v>
      </c>
      <c r="DM19" s="252">
        <v>1376.5646666666667</v>
      </c>
      <c r="DN19" s="252">
        <v>1.7207058333333334</v>
      </c>
      <c r="DO19" s="694" t="s">
        <v>279</v>
      </c>
      <c r="DP19" s="1202"/>
      <c r="DQ19" s="897">
        <v>0</v>
      </c>
      <c r="DR19" s="1209">
        <v>55.555555555555557</v>
      </c>
      <c r="DS19" s="1209"/>
      <c r="DT19" s="293">
        <v>0</v>
      </c>
      <c r="DU19" s="252">
        <v>1376.5646666666667</v>
      </c>
      <c r="DV19" s="252">
        <v>1.7207058333333334</v>
      </c>
      <c r="DW19" s="694" t="s">
        <v>279</v>
      </c>
      <c r="DX19" s="1202"/>
      <c r="DY19" s="897">
        <v>0</v>
      </c>
      <c r="DZ19" s="1209">
        <v>55.555555555555557</v>
      </c>
      <c r="EA19" s="1209"/>
      <c r="EB19" s="293">
        <v>0</v>
      </c>
      <c r="EC19" s="245">
        <v>1376.5646666666667</v>
      </c>
      <c r="ED19" s="295">
        <v>1.7207058333333334</v>
      </c>
      <c r="EE19" s="246" t="s">
        <v>279</v>
      </c>
      <c r="EF19" s="323"/>
      <c r="EG19" s="897">
        <v>35.002799999999993</v>
      </c>
      <c r="EH19" s="1152">
        <v>166.66666666666669</v>
      </c>
      <c r="EI19" s="245">
        <v>58.338000000000001</v>
      </c>
      <c r="EJ19" s="413">
        <v>7.2922500000000001E-2</v>
      </c>
      <c r="EK19" s="245">
        <v>1376.5646666666667</v>
      </c>
      <c r="EL19" s="295">
        <v>1.7207058333333334</v>
      </c>
      <c r="EM19" s="246" t="s">
        <v>279</v>
      </c>
      <c r="EN19" s="323"/>
      <c r="EO19" s="897">
        <v>51.254099999999994</v>
      </c>
      <c r="EP19" s="1152">
        <v>222.22222222222223</v>
      </c>
      <c r="EQ19" s="1152">
        <v>113.898</v>
      </c>
      <c r="ER19" s="413">
        <v>0.14237250000000001</v>
      </c>
      <c r="ES19" s="245">
        <v>1376.5646666666667</v>
      </c>
      <c r="ET19" s="295">
        <v>1.7207058333333334</v>
      </c>
      <c r="EU19" s="246" t="s">
        <v>279</v>
      </c>
      <c r="EV19" s="323"/>
      <c r="EW19" s="897">
        <v>619.45410000000004</v>
      </c>
      <c r="EX19" s="1152">
        <v>222.22222222222223</v>
      </c>
      <c r="EY19" s="245">
        <v>1376.5646666666667</v>
      </c>
      <c r="EZ19" s="413">
        <v>1.7207058333333334</v>
      </c>
      <c r="FA19" s="245">
        <v>1376.5646666666667</v>
      </c>
      <c r="FB19" s="295">
        <v>1.7207058333333334</v>
      </c>
      <c r="FC19" s="246" t="s">
        <v>279</v>
      </c>
    </row>
    <row r="20" spans="2:159" ht="20.100000000000001" customHeight="1" thickBot="1">
      <c r="B20" s="1749"/>
      <c r="C20" s="1824"/>
      <c r="D20" s="193" t="s">
        <v>185</v>
      </c>
      <c r="E20" s="889"/>
      <c r="F20" s="877"/>
      <c r="G20" s="877">
        <v>100</v>
      </c>
      <c r="H20" s="1198"/>
      <c r="I20" s="1211"/>
      <c r="J20" s="298"/>
      <c r="K20" s="300" t="s">
        <v>4</v>
      </c>
      <c r="L20" s="299">
        <v>7.4</v>
      </c>
      <c r="M20" s="1200"/>
      <c r="N20" s="296"/>
      <c r="O20" s="299" t="s">
        <v>4</v>
      </c>
      <c r="P20" s="1200"/>
      <c r="Q20" s="298"/>
      <c r="R20" s="300" t="s">
        <v>4</v>
      </c>
      <c r="S20" s="299">
        <v>1.4375</v>
      </c>
      <c r="T20" s="1201"/>
      <c r="U20" s="298"/>
      <c r="V20" s="300" t="s">
        <v>4</v>
      </c>
      <c r="W20" s="299">
        <v>1.5625</v>
      </c>
      <c r="X20" s="1200"/>
      <c r="Y20" s="298"/>
      <c r="Z20" s="300" t="s">
        <v>4</v>
      </c>
      <c r="AA20" s="299">
        <v>1.8125</v>
      </c>
      <c r="AB20" s="1200"/>
      <c r="AC20" s="301"/>
      <c r="AD20" s="265" t="s">
        <v>4</v>
      </c>
      <c r="AE20" s="259">
        <v>1.6041666666666665</v>
      </c>
      <c r="AF20" s="1202"/>
      <c r="AG20" s="904"/>
      <c r="AH20" s="905"/>
      <c r="AI20" s="905"/>
      <c r="AJ20" s="265">
        <v>1.8287499999999999</v>
      </c>
      <c r="AK20" s="906"/>
      <c r="AL20" s="265">
        <v>3.4329166666666668</v>
      </c>
      <c r="AM20" s="259"/>
      <c r="AN20" s="1202"/>
      <c r="AO20" s="904"/>
      <c r="AP20" s="905"/>
      <c r="AQ20" s="905"/>
      <c r="AR20" s="265">
        <v>0.61</v>
      </c>
      <c r="AS20" s="906"/>
      <c r="AT20" s="265">
        <v>4.0429166666666667</v>
      </c>
      <c r="AU20" s="259"/>
      <c r="AV20" s="1202"/>
      <c r="AW20" s="904"/>
      <c r="AX20" s="905"/>
      <c r="AY20" s="905"/>
      <c r="AZ20" s="265">
        <v>3.0874999999999999</v>
      </c>
      <c r="BA20" s="906"/>
      <c r="BB20" s="265">
        <v>7.1304166666666671</v>
      </c>
      <c r="BC20" s="259"/>
      <c r="BD20" s="1202"/>
      <c r="BE20" s="904"/>
      <c r="BF20" s="906"/>
      <c r="BG20" s="906"/>
      <c r="BH20" s="265">
        <v>5.5262500000000001</v>
      </c>
      <c r="BI20" s="906"/>
      <c r="BJ20" s="265">
        <v>7.1304166666666671</v>
      </c>
      <c r="BK20" s="259"/>
      <c r="BL20" s="1202"/>
      <c r="BM20" s="904"/>
      <c r="BN20" s="906"/>
      <c r="BO20" s="906"/>
      <c r="BP20" s="265">
        <v>7.1304166666666671</v>
      </c>
      <c r="BQ20" s="906"/>
      <c r="BR20" s="265">
        <v>7.1304166666666671</v>
      </c>
      <c r="BS20" s="259"/>
      <c r="BT20" s="1202"/>
      <c r="BU20" s="904"/>
      <c r="BV20" s="906"/>
      <c r="BW20" s="906"/>
      <c r="BX20" s="265">
        <v>0</v>
      </c>
      <c r="BY20" s="906"/>
      <c r="BZ20" s="265">
        <v>7.1304166666666671</v>
      </c>
      <c r="CA20" s="259"/>
      <c r="CB20" s="1202"/>
      <c r="CC20" s="904"/>
      <c r="CD20" s="906"/>
      <c r="CE20" s="906"/>
      <c r="CF20" s="259">
        <v>0.55000000000000004</v>
      </c>
      <c r="CG20" s="907"/>
      <c r="CH20" s="265">
        <v>7.680416666666666</v>
      </c>
      <c r="CI20" s="259"/>
      <c r="CJ20" s="1202"/>
      <c r="CK20" s="904"/>
      <c r="CL20" s="906"/>
      <c r="CM20" s="906"/>
      <c r="CN20" s="265">
        <v>1.0469500000000003</v>
      </c>
      <c r="CO20" s="906"/>
      <c r="CP20" s="265">
        <v>8.7273666666666667</v>
      </c>
      <c r="CQ20" s="259"/>
      <c r="CR20" s="1202"/>
      <c r="CS20" s="904"/>
      <c r="CT20" s="906"/>
      <c r="CU20" s="906"/>
      <c r="CV20" s="265">
        <v>1.5969500000000001</v>
      </c>
      <c r="CW20" s="906"/>
      <c r="CX20" s="265">
        <v>8.7273666666666667</v>
      </c>
      <c r="CY20" s="259"/>
      <c r="CZ20" s="1202"/>
      <c r="DA20" s="904"/>
      <c r="DB20" s="906"/>
      <c r="DC20" s="906"/>
      <c r="DD20" s="265">
        <v>8.7273666666666667</v>
      </c>
      <c r="DE20" s="906"/>
      <c r="DF20" s="265">
        <v>8.7273666666666667</v>
      </c>
      <c r="DG20" s="259"/>
      <c r="DH20" s="1202"/>
      <c r="DI20" s="904"/>
      <c r="DJ20" s="906"/>
      <c r="DK20" s="906"/>
      <c r="DL20" s="265">
        <v>1.0992975</v>
      </c>
      <c r="DM20" s="906"/>
      <c r="DN20" s="265">
        <v>9.8266641666666654</v>
      </c>
      <c r="DO20" s="259"/>
      <c r="DP20" s="1202"/>
      <c r="DQ20" s="904"/>
      <c r="DR20" s="906"/>
      <c r="DS20" s="906"/>
      <c r="DT20" s="265">
        <v>0</v>
      </c>
      <c r="DU20" s="906"/>
      <c r="DV20" s="265">
        <v>9.8266641666666654</v>
      </c>
      <c r="DW20" s="259"/>
      <c r="DX20" s="1202"/>
      <c r="DY20" s="904"/>
      <c r="DZ20" s="906"/>
      <c r="EA20" s="906"/>
      <c r="EB20" s="265">
        <v>0</v>
      </c>
      <c r="EC20" s="302"/>
      <c r="ED20" s="260">
        <v>9.8266641666666654</v>
      </c>
      <c r="EE20" s="259"/>
      <c r="EF20" s="323"/>
      <c r="EG20" s="904"/>
      <c r="EH20" s="302"/>
      <c r="EI20" s="302"/>
      <c r="EJ20" s="265">
        <v>1.0992975</v>
      </c>
      <c r="EK20" s="302"/>
      <c r="EL20" s="260">
        <v>9.8266641666666654</v>
      </c>
      <c r="EM20" s="259"/>
      <c r="EN20" s="323"/>
      <c r="EO20" s="904"/>
      <c r="EP20" s="302"/>
      <c r="EQ20" s="302"/>
      <c r="ER20" s="265">
        <v>2.6962475000000006</v>
      </c>
      <c r="ES20" s="302"/>
      <c r="ET20" s="260">
        <v>9.8266641666666654</v>
      </c>
      <c r="EU20" s="259"/>
      <c r="EV20" s="323"/>
      <c r="EW20" s="904"/>
      <c r="EX20" s="302"/>
      <c r="EY20" s="302"/>
      <c r="EZ20" s="265">
        <v>9.8266641666666672</v>
      </c>
      <c r="FA20" s="302"/>
      <c r="FB20" s="260">
        <v>9.8266641666666654</v>
      </c>
      <c r="FC20" s="259"/>
    </row>
    <row r="21" spans="2:159" ht="20.100000000000001" customHeight="1">
      <c r="B21" s="1748" t="s">
        <v>27</v>
      </c>
      <c r="C21" s="1825" t="s">
        <v>54</v>
      </c>
      <c r="D21" s="194" t="s">
        <v>104</v>
      </c>
      <c r="E21" s="890" t="s">
        <v>73</v>
      </c>
      <c r="F21" s="878">
        <v>80</v>
      </c>
      <c r="G21" s="879">
        <v>3</v>
      </c>
      <c r="H21" s="1198"/>
      <c r="I21" s="1213">
        <v>1</v>
      </c>
      <c r="J21" s="287">
        <v>80</v>
      </c>
      <c r="K21" s="450">
        <v>0</v>
      </c>
      <c r="L21" s="303">
        <v>0</v>
      </c>
      <c r="M21" s="1200"/>
      <c r="N21" s="287">
        <v>0</v>
      </c>
      <c r="O21" s="288">
        <v>80</v>
      </c>
      <c r="P21" s="1200"/>
      <c r="Q21" s="287">
        <v>0</v>
      </c>
      <c r="R21" s="450">
        <v>0</v>
      </c>
      <c r="S21" s="288">
        <v>0</v>
      </c>
      <c r="T21" s="1201"/>
      <c r="U21" s="287">
        <v>0</v>
      </c>
      <c r="V21" s="450">
        <v>0</v>
      </c>
      <c r="W21" s="288">
        <v>0</v>
      </c>
      <c r="X21" s="1200"/>
      <c r="Y21" s="287">
        <v>0</v>
      </c>
      <c r="Z21" s="450">
        <v>0</v>
      </c>
      <c r="AA21" s="293">
        <v>0</v>
      </c>
      <c r="AB21" s="1200"/>
      <c r="AC21" s="294">
        <v>0</v>
      </c>
      <c r="AD21" s="252">
        <v>0</v>
      </c>
      <c r="AE21" s="293">
        <v>0</v>
      </c>
      <c r="AF21" s="1202"/>
      <c r="AG21" s="897">
        <v>0</v>
      </c>
      <c r="AH21" s="1212">
        <v>0</v>
      </c>
      <c r="AI21" s="1207">
        <v>0</v>
      </c>
      <c r="AJ21" s="313">
        <v>0</v>
      </c>
      <c r="AK21" s="252">
        <v>0</v>
      </c>
      <c r="AL21" s="252">
        <v>0</v>
      </c>
      <c r="AM21" s="694" t="s">
        <v>279</v>
      </c>
      <c r="AN21" s="1202"/>
      <c r="AO21" s="897">
        <v>0</v>
      </c>
      <c r="AP21" s="1207">
        <v>40</v>
      </c>
      <c r="AQ21" s="1207">
        <v>0</v>
      </c>
      <c r="AR21" s="293">
        <v>0</v>
      </c>
      <c r="AS21" s="252">
        <v>0</v>
      </c>
      <c r="AT21" s="252">
        <v>0</v>
      </c>
      <c r="AU21" s="694" t="s">
        <v>279</v>
      </c>
      <c r="AV21" s="1202"/>
      <c r="AW21" s="897">
        <v>40</v>
      </c>
      <c r="AX21" s="1214">
        <v>40</v>
      </c>
      <c r="AY21" s="1208">
        <v>16</v>
      </c>
      <c r="AZ21" s="293">
        <v>0.6</v>
      </c>
      <c r="BA21" s="252">
        <v>16</v>
      </c>
      <c r="BB21" s="252">
        <v>0.60000000000000009</v>
      </c>
      <c r="BC21" s="694" t="s">
        <v>279</v>
      </c>
      <c r="BD21" s="1202"/>
      <c r="BE21" s="897">
        <v>20</v>
      </c>
      <c r="BF21" s="252">
        <v>80</v>
      </c>
      <c r="BG21" s="252">
        <v>16</v>
      </c>
      <c r="BH21" s="293">
        <v>0.60000000000000009</v>
      </c>
      <c r="BI21" s="252">
        <v>16</v>
      </c>
      <c r="BJ21" s="252">
        <v>0.60000000000000009</v>
      </c>
      <c r="BK21" s="694" t="s">
        <v>279</v>
      </c>
      <c r="BL21" s="1202"/>
      <c r="BM21" s="897">
        <v>0</v>
      </c>
      <c r="BN21" s="252"/>
      <c r="BO21" s="252">
        <v>16</v>
      </c>
      <c r="BP21" s="293">
        <v>0.60000000000000009</v>
      </c>
      <c r="BQ21" s="252">
        <v>16</v>
      </c>
      <c r="BR21" s="252">
        <v>0.60000000000000009</v>
      </c>
      <c r="BS21" s="694" t="s">
        <v>279</v>
      </c>
      <c r="BT21" s="1202"/>
      <c r="BU21" s="897">
        <v>0</v>
      </c>
      <c r="BV21" s="1209">
        <v>40</v>
      </c>
      <c r="BW21" s="1209">
        <v>0</v>
      </c>
      <c r="BX21" s="293">
        <v>0</v>
      </c>
      <c r="BY21" s="252">
        <v>16</v>
      </c>
      <c r="BZ21" s="252">
        <v>0.60000000000000009</v>
      </c>
      <c r="CA21" s="694" t="s">
        <v>279</v>
      </c>
      <c r="CB21" s="1202"/>
      <c r="CC21" s="897">
        <v>100</v>
      </c>
      <c r="CD21" s="1212">
        <v>20</v>
      </c>
      <c r="CE21" s="1209">
        <v>20</v>
      </c>
      <c r="CF21" s="293">
        <v>0.75</v>
      </c>
      <c r="CG21" s="899">
        <v>36</v>
      </c>
      <c r="CH21" s="252">
        <v>1.35</v>
      </c>
      <c r="CI21" s="694" t="s">
        <v>279</v>
      </c>
      <c r="CJ21" s="1202"/>
      <c r="CK21" s="897">
        <v>1080</v>
      </c>
      <c r="CL21" s="1209">
        <v>8.8888888888888893</v>
      </c>
      <c r="CM21" s="1209">
        <v>96</v>
      </c>
      <c r="CN21" s="293">
        <v>3.5999999999999996</v>
      </c>
      <c r="CO21" s="252">
        <v>132</v>
      </c>
      <c r="CP21" s="252">
        <v>4.9499999999999993</v>
      </c>
      <c r="CQ21" s="694" t="s">
        <v>279</v>
      </c>
      <c r="CR21" s="1202"/>
      <c r="CS21" s="897">
        <v>168.38709677419354</v>
      </c>
      <c r="CT21" s="252">
        <v>68.888888888888886</v>
      </c>
      <c r="CU21" s="252">
        <v>116</v>
      </c>
      <c r="CV21" s="293">
        <v>4.3499999999999996</v>
      </c>
      <c r="CW21" s="252">
        <v>132</v>
      </c>
      <c r="CX21" s="252">
        <v>4.9499999999999993</v>
      </c>
      <c r="CY21" s="694" t="s">
        <v>279</v>
      </c>
      <c r="CZ21" s="1202"/>
      <c r="DA21" s="897">
        <v>191.61290322580646</v>
      </c>
      <c r="DB21" s="252">
        <v>68.888888888888886</v>
      </c>
      <c r="DC21" s="252">
        <v>132</v>
      </c>
      <c r="DD21" s="293">
        <v>4.9499999999999993</v>
      </c>
      <c r="DE21" s="252">
        <v>132</v>
      </c>
      <c r="DF21" s="252">
        <v>4.9499999999999993</v>
      </c>
      <c r="DG21" s="694" t="s">
        <v>279</v>
      </c>
      <c r="DH21" s="1202"/>
      <c r="DI21" s="897">
        <v>1134</v>
      </c>
      <c r="DJ21" s="1209">
        <v>8.8888888888888893</v>
      </c>
      <c r="DK21" s="1209">
        <v>100.8</v>
      </c>
      <c r="DL21" s="293">
        <v>3.78</v>
      </c>
      <c r="DM21" s="252">
        <v>232.8</v>
      </c>
      <c r="DN21" s="252">
        <v>8.73</v>
      </c>
      <c r="DO21" s="694" t="s">
        <v>279</v>
      </c>
      <c r="DP21" s="1202"/>
      <c r="DQ21" s="897">
        <v>0</v>
      </c>
      <c r="DR21" s="1209">
        <v>8.8888888888888893</v>
      </c>
      <c r="DS21" s="1209"/>
      <c r="DT21" s="293">
        <v>0</v>
      </c>
      <c r="DU21" s="252">
        <v>232.8</v>
      </c>
      <c r="DV21" s="252">
        <v>8.73</v>
      </c>
      <c r="DW21" s="694" t="s">
        <v>279</v>
      </c>
      <c r="DX21" s="1202"/>
      <c r="DY21" s="897">
        <v>0</v>
      </c>
      <c r="DZ21" s="1209">
        <v>8.8888888888888893</v>
      </c>
      <c r="EA21" s="1209"/>
      <c r="EB21" s="293">
        <v>0</v>
      </c>
      <c r="EC21" s="245">
        <v>232.8</v>
      </c>
      <c r="ED21" s="295">
        <v>8.73</v>
      </c>
      <c r="EE21" s="246" t="s">
        <v>279</v>
      </c>
      <c r="EF21" s="323"/>
      <c r="EG21" s="897">
        <v>378</v>
      </c>
      <c r="EH21" s="245">
        <v>26.666666666666668</v>
      </c>
      <c r="EI21" s="245">
        <v>100.8</v>
      </c>
      <c r="EJ21" s="413">
        <v>3.78</v>
      </c>
      <c r="EK21" s="245">
        <v>232.8</v>
      </c>
      <c r="EL21" s="295">
        <v>8.73</v>
      </c>
      <c r="EM21" s="246" t="s">
        <v>279</v>
      </c>
      <c r="EN21" s="323"/>
      <c r="EO21" s="897">
        <v>226.88372093023256</v>
      </c>
      <c r="EP21" s="245">
        <v>95.555555555555557</v>
      </c>
      <c r="EQ21" s="245">
        <v>216.8</v>
      </c>
      <c r="ER21" s="413">
        <v>8.129999999999999</v>
      </c>
      <c r="ES21" s="245">
        <v>232.8</v>
      </c>
      <c r="ET21" s="295">
        <v>8.73</v>
      </c>
      <c r="EU21" s="246" t="s">
        <v>279</v>
      </c>
      <c r="EV21" s="323"/>
      <c r="EW21" s="897">
        <v>243.62790697674419</v>
      </c>
      <c r="EX21" s="245">
        <v>95.555555555555557</v>
      </c>
      <c r="EY21" s="245">
        <v>232.8</v>
      </c>
      <c r="EZ21" s="413">
        <v>8.73</v>
      </c>
      <c r="FA21" s="245">
        <v>232.8</v>
      </c>
      <c r="FB21" s="295">
        <v>8.73</v>
      </c>
      <c r="FC21" s="246" t="s">
        <v>279</v>
      </c>
    </row>
    <row r="22" spans="2:159" ht="32.25" customHeight="1">
      <c r="B22" s="1733"/>
      <c r="C22" s="1819"/>
      <c r="D22" s="191" t="s">
        <v>48</v>
      </c>
      <c r="E22" s="886" t="s">
        <v>186</v>
      </c>
      <c r="F22" s="873">
        <v>1</v>
      </c>
      <c r="G22" s="874">
        <v>2</v>
      </c>
      <c r="H22" s="1198"/>
      <c r="I22" s="1206">
        <v>1</v>
      </c>
      <c r="J22" s="291">
        <v>1</v>
      </c>
      <c r="K22" s="313">
        <v>1</v>
      </c>
      <c r="L22" s="305">
        <v>2</v>
      </c>
      <c r="M22" s="1200"/>
      <c r="N22" s="291">
        <v>1</v>
      </c>
      <c r="O22" s="293">
        <v>1</v>
      </c>
      <c r="P22" s="1200"/>
      <c r="Q22" s="291">
        <v>5</v>
      </c>
      <c r="R22" s="313">
        <v>0.05</v>
      </c>
      <c r="S22" s="293">
        <v>0.1</v>
      </c>
      <c r="T22" s="1201"/>
      <c r="U22" s="291">
        <v>10</v>
      </c>
      <c r="V22" s="313">
        <v>0.1</v>
      </c>
      <c r="W22" s="293">
        <v>0.2</v>
      </c>
      <c r="X22" s="1200"/>
      <c r="Y22" s="291">
        <v>10</v>
      </c>
      <c r="Z22" s="313">
        <v>0.1</v>
      </c>
      <c r="AA22" s="293">
        <v>0.2</v>
      </c>
      <c r="AB22" s="1200"/>
      <c r="AC22" s="294">
        <v>8.3333333333333339</v>
      </c>
      <c r="AD22" s="252">
        <v>8.3333333333333343E-2</v>
      </c>
      <c r="AE22" s="293">
        <v>0.16666666666666669</v>
      </c>
      <c r="AF22" s="1202"/>
      <c r="AG22" s="897">
        <v>100</v>
      </c>
      <c r="AH22" s="1212">
        <v>1</v>
      </c>
      <c r="AI22" s="1207">
        <v>1</v>
      </c>
      <c r="AJ22" s="313">
        <v>2</v>
      </c>
      <c r="AK22" s="252">
        <v>1.0833333333333333</v>
      </c>
      <c r="AL22" s="252">
        <v>2.1666666666666665</v>
      </c>
      <c r="AM22" s="694" t="s">
        <v>279</v>
      </c>
      <c r="AN22" s="1202"/>
      <c r="AO22" s="897">
        <v>0</v>
      </c>
      <c r="AP22" s="1207">
        <v>0</v>
      </c>
      <c r="AQ22" s="1207">
        <v>1</v>
      </c>
      <c r="AR22" s="293">
        <v>2</v>
      </c>
      <c r="AS22" s="252">
        <v>2.083333333333333</v>
      </c>
      <c r="AT22" s="252">
        <v>4.1666666666666661</v>
      </c>
      <c r="AU22" s="694" t="s">
        <v>279</v>
      </c>
      <c r="AV22" s="1202"/>
      <c r="AW22" s="897">
        <v>0</v>
      </c>
      <c r="AX22" s="1214">
        <v>0</v>
      </c>
      <c r="AY22" s="1208">
        <v>0</v>
      </c>
      <c r="AZ22" s="293">
        <v>0</v>
      </c>
      <c r="BA22" s="252">
        <v>2.083333333333333</v>
      </c>
      <c r="BB22" s="252">
        <v>4.1666666666666661</v>
      </c>
      <c r="BC22" s="694" t="s">
        <v>279</v>
      </c>
      <c r="BD22" s="1202"/>
      <c r="BE22" s="897">
        <v>200</v>
      </c>
      <c r="BF22" s="252">
        <v>1</v>
      </c>
      <c r="BG22" s="252">
        <v>2</v>
      </c>
      <c r="BH22" s="903">
        <v>4</v>
      </c>
      <c r="BI22" s="252">
        <v>2.083333333333333</v>
      </c>
      <c r="BJ22" s="252">
        <v>4.1666666666666661</v>
      </c>
      <c r="BK22" s="694" t="s">
        <v>279</v>
      </c>
      <c r="BL22" s="1202"/>
      <c r="BM22" s="897">
        <v>0</v>
      </c>
      <c r="BN22" s="252"/>
      <c r="BO22" s="252">
        <v>2.0833333333333335</v>
      </c>
      <c r="BP22" s="903">
        <v>4.166666666666667</v>
      </c>
      <c r="BQ22" s="252">
        <v>2.083333333333333</v>
      </c>
      <c r="BR22" s="252">
        <v>4.1666666666666661</v>
      </c>
      <c r="BS22" s="694" t="s">
        <v>279</v>
      </c>
      <c r="BT22" s="1202"/>
      <c r="BU22" s="897">
        <v>0</v>
      </c>
      <c r="BV22" s="1209">
        <v>0</v>
      </c>
      <c r="BW22" s="1209">
        <v>0</v>
      </c>
      <c r="BX22" s="293">
        <v>0</v>
      </c>
      <c r="BY22" s="252">
        <v>2.083333333333333</v>
      </c>
      <c r="BZ22" s="252">
        <v>4.1666666666666661</v>
      </c>
      <c r="CA22" s="694" t="s">
        <v>279</v>
      </c>
      <c r="CB22" s="1202"/>
      <c r="CC22" s="897">
        <v>0</v>
      </c>
      <c r="CD22" s="1209">
        <v>0</v>
      </c>
      <c r="CE22" s="1209">
        <v>0</v>
      </c>
      <c r="CF22" s="293">
        <v>0</v>
      </c>
      <c r="CG22" s="899">
        <v>2.083333333333333</v>
      </c>
      <c r="CH22" s="252">
        <v>4.1666666666666661</v>
      </c>
      <c r="CI22" s="694" t="s">
        <v>279</v>
      </c>
      <c r="CJ22" s="1202"/>
      <c r="CK22" s="897">
        <v>99.000000000000014</v>
      </c>
      <c r="CL22" s="1209">
        <v>0.1111111111111111</v>
      </c>
      <c r="CM22" s="1209">
        <v>0.11</v>
      </c>
      <c r="CN22" s="293">
        <v>0.22</v>
      </c>
      <c r="CO22" s="252">
        <v>2.1933333333333329</v>
      </c>
      <c r="CP22" s="252">
        <v>4.3866666666666658</v>
      </c>
      <c r="CQ22" s="694" t="s">
        <v>279</v>
      </c>
      <c r="CR22" s="1202"/>
      <c r="CS22" s="897">
        <v>99.000000000000014</v>
      </c>
      <c r="CT22" s="252">
        <v>0.1111111111111111</v>
      </c>
      <c r="CU22" s="252">
        <v>0.11</v>
      </c>
      <c r="CV22" s="293">
        <v>0.22</v>
      </c>
      <c r="CW22" s="252">
        <v>2.1933333333333329</v>
      </c>
      <c r="CX22" s="252">
        <v>4.3866666666666658</v>
      </c>
      <c r="CY22" s="694" t="s">
        <v>279</v>
      </c>
      <c r="CZ22" s="1202"/>
      <c r="DA22" s="897">
        <v>1974.0000000000002</v>
      </c>
      <c r="DB22" s="252">
        <v>0.1111111111111111</v>
      </c>
      <c r="DC22" s="252">
        <v>2.1933333333333334</v>
      </c>
      <c r="DD22" s="293">
        <v>4.3866666666666667</v>
      </c>
      <c r="DE22" s="252">
        <v>2.1933333333333329</v>
      </c>
      <c r="DF22" s="252">
        <v>4.3866666666666658</v>
      </c>
      <c r="DG22" s="694" t="s">
        <v>279</v>
      </c>
      <c r="DH22" s="1202"/>
      <c r="DI22" s="897">
        <v>103.95</v>
      </c>
      <c r="DJ22" s="1209">
        <v>0.1111111111111111</v>
      </c>
      <c r="DK22" s="1209">
        <v>0.11550000000000001</v>
      </c>
      <c r="DL22" s="293">
        <v>0.23100000000000001</v>
      </c>
      <c r="DM22" s="252">
        <v>2.3088333333333328</v>
      </c>
      <c r="DN22" s="252">
        <v>4.6176666666666657</v>
      </c>
      <c r="DO22" s="694" t="s">
        <v>279</v>
      </c>
      <c r="DP22" s="1202"/>
      <c r="DQ22" s="897">
        <v>0</v>
      </c>
      <c r="DR22" s="1209">
        <v>0.1111111111111111</v>
      </c>
      <c r="DS22" s="1209"/>
      <c r="DT22" s="293">
        <v>0</v>
      </c>
      <c r="DU22" s="252">
        <v>2.3088333333333328</v>
      </c>
      <c r="DV22" s="252">
        <v>4.6176666666666657</v>
      </c>
      <c r="DW22" s="694" t="s">
        <v>279</v>
      </c>
      <c r="DX22" s="1202"/>
      <c r="DY22" s="897">
        <v>0</v>
      </c>
      <c r="DZ22" s="1209">
        <v>0.1111111111111111</v>
      </c>
      <c r="EA22" s="1209"/>
      <c r="EB22" s="293">
        <v>0</v>
      </c>
      <c r="EC22" s="245">
        <v>2.3088333333333328</v>
      </c>
      <c r="ED22" s="295">
        <v>4.6176666666666657</v>
      </c>
      <c r="EE22" s="246" t="s">
        <v>279</v>
      </c>
      <c r="EF22" s="323"/>
      <c r="EG22" s="897">
        <v>34.650000000000006</v>
      </c>
      <c r="EH22" s="245">
        <v>0.33333333333333331</v>
      </c>
      <c r="EI22" s="245">
        <v>0.11550000000000001</v>
      </c>
      <c r="EJ22" s="413">
        <v>0.23100000000000001</v>
      </c>
      <c r="EK22" s="245">
        <v>2.3088333333333328</v>
      </c>
      <c r="EL22" s="295">
        <v>4.6176666666666657</v>
      </c>
      <c r="EM22" s="246" t="s">
        <v>279</v>
      </c>
      <c r="EN22" s="323"/>
      <c r="EO22" s="897">
        <v>50.737500000000004</v>
      </c>
      <c r="EP22" s="245">
        <v>0.44444444444444442</v>
      </c>
      <c r="EQ22" s="245">
        <v>0.22550000000000001</v>
      </c>
      <c r="ER22" s="413">
        <v>0.45100000000000001</v>
      </c>
      <c r="ES22" s="245">
        <v>2.3088333333333328</v>
      </c>
      <c r="ET22" s="295">
        <v>4.6176666666666657</v>
      </c>
      <c r="EU22" s="246" t="s">
        <v>279</v>
      </c>
      <c r="EV22" s="323"/>
      <c r="EW22" s="897">
        <v>519.48750000000007</v>
      </c>
      <c r="EX22" s="245">
        <v>0.44444444444444442</v>
      </c>
      <c r="EY22" s="245">
        <v>2.3088333333333333</v>
      </c>
      <c r="EZ22" s="413">
        <v>4.6176666666666666</v>
      </c>
      <c r="FA22" s="245">
        <v>2.3088333333333328</v>
      </c>
      <c r="FB22" s="295">
        <v>4.6176666666666657</v>
      </c>
      <c r="FC22" s="246" t="s">
        <v>279</v>
      </c>
    </row>
    <row r="23" spans="2:159" ht="36.75" customHeight="1">
      <c r="B23" s="1733"/>
      <c r="C23" s="1819"/>
      <c r="D23" s="191" t="s">
        <v>105</v>
      </c>
      <c r="E23" s="886" t="s">
        <v>186</v>
      </c>
      <c r="F23" s="873">
        <v>4</v>
      </c>
      <c r="G23" s="874">
        <v>2</v>
      </c>
      <c r="H23" s="1198"/>
      <c r="I23" s="1206">
        <v>1</v>
      </c>
      <c r="J23" s="291">
        <v>1</v>
      </c>
      <c r="K23" s="313">
        <v>2.5</v>
      </c>
      <c r="L23" s="305">
        <v>1.25</v>
      </c>
      <c r="M23" s="1200"/>
      <c r="N23" s="291">
        <v>4</v>
      </c>
      <c r="O23" s="293">
        <v>2.5</v>
      </c>
      <c r="P23" s="1200"/>
      <c r="Q23" s="291">
        <v>5</v>
      </c>
      <c r="R23" s="313">
        <v>0.125</v>
      </c>
      <c r="S23" s="293">
        <v>6.25E-2</v>
      </c>
      <c r="T23" s="1201"/>
      <c r="U23" s="291">
        <v>10</v>
      </c>
      <c r="V23" s="313">
        <v>0.25</v>
      </c>
      <c r="W23" s="293">
        <v>0.125</v>
      </c>
      <c r="X23" s="1200"/>
      <c r="Y23" s="291">
        <v>12</v>
      </c>
      <c r="Z23" s="313">
        <v>0.3</v>
      </c>
      <c r="AA23" s="293">
        <v>0.15</v>
      </c>
      <c r="AB23" s="1200"/>
      <c r="AC23" s="294">
        <v>9</v>
      </c>
      <c r="AD23" s="252">
        <v>0.22500000000000001</v>
      </c>
      <c r="AE23" s="293">
        <v>0.1125</v>
      </c>
      <c r="AF23" s="1202"/>
      <c r="AG23" s="897">
        <v>80</v>
      </c>
      <c r="AH23" s="1212">
        <v>2.5</v>
      </c>
      <c r="AI23" s="1207">
        <v>2</v>
      </c>
      <c r="AJ23" s="313">
        <v>1</v>
      </c>
      <c r="AK23" s="252">
        <v>2.2250000000000001</v>
      </c>
      <c r="AL23" s="252">
        <v>1.1125</v>
      </c>
      <c r="AM23" s="694" t="s">
        <v>279</v>
      </c>
      <c r="AN23" s="1202"/>
      <c r="AO23" s="897">
        <v>0</v>
      </c>
      <c r="AP23" s="1207">
        <v>0</v>
      </c>
      <c r="AQ23" s="1207">
        <v>2.5</v>
      </c>
      <c r="AR23" s="293">
        <v>1.25</v>
      </c>
      <c r="AS23" s="252">
        <v>4.7249999999999996</v>
      </c>
      <c r="AT23" s="252">
        <v>2.3624999999999998</v>
      </c>
      <c r="AU23" s="694" t="s">
        <v>279</v>
      </c>
      <c r="AV23" s="1202"/>
      <c r="AW23" s="897">
        <v>0</v>
      </c>
      <c r="AX23" s="1214">
        <v>0</v>
      </c>
      <c r="AY23" s="1208">
        <v>0</v>
      </c>
      <c r="AZ23" s="293">
        <v>0</v>
      </c>
      <c r="BA23" s="252">
        <v>4.7249999999999996</v>
      </c>
      <c r="BB23" s="252">
        <v>2.3624999999999998</v>
      </c>
      <c r="BC23" s="694" t="s">
        <v>279</v>
      </c>
      <c r="BD23" s="1202"/>
      <c r="BE23" s="897">
        <v>180</v>
      </c>
      <c r="BF23" s="252">
        <v>2.5</v>
      </c>
      <c r="BG23" s="252">
        <v>4.5</v>
      </c>
      <c r="BH23" s="903">
        <v>2.25</v>
      </c>
      <c r="BI23" s="252">
        <v>4.7249999999999996</v>
      </c>
      <c r="BJ23" s="252">
        <v>2.3624999999999998</v>
      </c>
      <c r="BK23" s="694" t="s">
        <v>279</v>
      </c>
      <c r="BL23" s="1202"/>
      <c r="BM23" s="897">
        <v>0</v>
      </c>
      <c r="BN23" s="252"/>
      <c r="BO23" s="252">
        <v>4.7249999999999996</v>
      </c>
      <c r="BP23" s="903">
        <v>2.3624999999999998</v>
      </c>
      <c r="BQ23" s="252">
        <v>4.7249999999999996</v>
      </c>
      <c r="BR23" s="252">
        <v>2.3624999999999998</v>
      </c>
      <c r="BS23" s="694" t="s">
        <v>279</v>
      </c>
      <c r="BT23" s="1202"/>
      <c r="BU23" s="897">
        <v>0</v>
      </c>
      <c r="BV23" s="1209">
        <v>0</v>
      </c>
      <c r="BW23" s="1209">
        <v>0</v>
      </c>
      <c r="BX23" s="293">
        <v>0</v>
      </c>
      <c r="BY23" s="252">
        <v>4.7249999999999996</v>
      </c>
      <c r="BZ23" s="252">
        <v>2.3624999999999998</v>
      </c>
      <c r="CA23" s="694" t="s">
        <v>279</v>
      </c>
      <c r="CB23" s="1202"/>
      <c r="CC23" s="897">
        <v>0</v>
      </c>
      <c r="CD23" s="1209">
        <v>0</v>
      </c>
      <c r="CE23" s="1209">
        <v>0</v>
      </c>
      <c r="CF23" s="293">
        <v>0</v>
      </c>
      <c r="CG23" s="899">
        <v>4.7249999999999996</v>
      </c>
      <c r="CH23" s="252">
        <v>2.3624999999999998</v>
      </c>
      <c r="CI23" s="694" t="s">
        <v>279</v>
      </c>
      <c r="CJ23" s="1202"/>
      <c r="CK23" s="897">
        <v>10080</v>
      </c>
      <c r="CL23" s="1209">
        <v>0.27777777777777779</v>
      </c>
      <c r="CM23" s="1209">
        <v>28</v>
      </c>
      <c r="CN23" s="293">
        <v>14</v>
      </c>
      <c r="CO23" s="252">
        <v>32.725000000000001</v>
      </c>
      <c r="CP23" s="252">
        <v>16.362500000000001</v>
      </c>
      <c r="CQ23" s="694" t="s">
        <v>279</v>
      </c>
      <c r="CR23" s="1202"/>
      <c r="CS23" s="897">
        <v>10080</v>
      </c>
      <c r="CT23" s="252">
        <v>0.27777777777777779</v>
      </c>
      <c r="CU23" s="252">
        <v>28</v>
      </c>
      <c r="CV23" s="293">
        <v>14</v>
      </c>
      <c r="CW23" s="252">
        <v>32.725000000000001</v>
      </c>
      <c r="CX23" s="252">
        <v>16.362500000000001</v>
      </c>
      <c r="CY23" s="694" t="s">
        <v>279</v>
      </c>
      <c r="CZ23" s="1202"/>
      <c r="DA23" s="897">
        <v>11781</v>
      </c>
      <c r="DB23" s="252">
        <v>0.27777777777777779</v>
      </c>
      <c r="DC23" s="252">
        <v>32.725000000000001</v>
      </c>
      <c r="DD23" s="293">
        <v>16.362500000000001</v>
      </c>
      <c r="DE23" s="252">
        <v>32.725000000000001</v>
      </c>
      <c r="DF23" s="252">
        <v>16.362500000000001</v>
      </c>
      <c r="DG23" s="694" t="s">
        <v>279</v>
      </c>
      <c r="DH23" s="1202"/>
      <c r="DI23" s="897">
        <v>10583.999999999998</v>
      </c>
      <c r="DJ23" s="1209">
        <v>0.27777777777777779</v>
      </c>
      <c r="DK23" s="1209">
        <v>29.4</v>
      </c>
      <c r="DL23" s="293">
        <v>14.7</v>
      </c>
      <c r="DM23" s="252">
        <v>62.125</v>
      </c>
      <c r="DN23" s="252">
        <v>31.0625</v>
      </c>
      <c r="DO23" s="694" t="s">
        <v>279</v>
      </c>
      <c r="DP23" s="1202"/>
      <c r="DQ23" s="897">
        <v>0</v>
      </c>
      <c r="DR23" s="1209">
        <v>0.27777777777777779</v>
      </c>
      <c r="DS23" s="1209"/>
      <c r="DT23" s="293">
        <v>0</v>
      </c>
      <c r="DU23" s="252">
        <v>62.125</v>
      </c>
      <c r="DV23" s="252">
        <v>31.0625</v>
      </c>
      <c r="DW23" s="694" t="s">
        <v>279</v>
      </c>
      <c r="DX23" s="1202"/>
      <c r="DY23" s="897">
        <v>0</v>
      </c>
      <c r="DZ23" s="1209">
        <v>0.27777777777777779</v>
      </c>
      <c r="EA23" s="1209"/>
      <c r="EB23" s="293">
        <v>0</v>
      </c>
      <c r="EC23" s="245">
        <v>62.125</v>
      </c>
      <c r="ED23" s="295">
        <v>31.0625</v>
      </c>
      <c r="EE23" s="246" t="s">
        <v>279</v>
      </c>
      <c r="EF23" s="323"/>
      <c r="EG23" s="897">
        <v>3527.9999999999995</v>
      </c>
      <c r="EH23" s="245">
        <v>0.83333333333333337</v>
      </c>
      <c r="EI23" s="245">
        <v>29.4</v>
      </c>
      <c r="EJ23" s="413">
        <v>14.7</v>
      </c>
      <c r="EK23" s="245">
        <v>62.125</v>
      </c>
      <c r="EL23" s="295">
        <v>31.0625</v>
      </c>
      <c r="EM23" s="246" t="s">
        <v>279</v>
      </c>
      <c r="EN23" s="323"/>
      <c r="EO23" s="897">
        <v>5166</v>
      </c>
      <c r="EP23" s="245">
        <v>1.1111111111111112</v>
      </c>
      <c r="EQ23" s="245">
        <v>57.4</v>
      </c>
      <c r="ER23" s="413">
        <v>28.7</v>
      </c>
      <c r="ES23" s="245">
        <v>62.125</v>
      </c>
      <c r="ET23" s="295">
        <v>31.0625</v>
      </c>
      <c r="EU23" s="246" t="s">
        <v>279</v>
      </c>
      <c r="EV23" s="323"/>
      <c r="EW23" s="897">
        <v>5591.2499999999991</v>
      </c>
      <c r="EX23" s="245">
        <v>1.1111111111111112</v>
      </c>
      <c r="EY23" s="245">
        <v>62.125</v>
      </c>
      <c r="EZ23" s="413">
        <v>31.0625</v>
      </c>
      <c r="FA23" s="245">
        <v>62.125</v>
      </c>
      <c r="FB23" s="295">
        <v>31.0625</v>
      </c>
      <c r="FC23" s="246" t="s">
        <v>279</v>
      </c>
    </row>
    <row r="24" spans="2:159" ht="35.25" customHeight="1">
      <c r="B24" s="1733"/>
      <c r="C24" s="1819"/>
      <c r="D24" s="191" t="s">
        <v>106</v>
      </c>
      <c r="E24" s="886" t="s">
        <v>186</v>
      </c>
      <c r="F24" s="873">
        <v>1</v>
      </c>
      <c r="G24" s="874">
        <v>3</v>
      </c>
      <c r="H24" s="1198"/>
      <c r="I24" s="1206">
        <v>1</v>
      </c>
      <c r="J24" s="291">
        <v>1</v>
      </c>
      <c r="K24" s="313">
        <v>1</v>
      </c>
      <c r="L24" s="293">
        <v>3</v>
      </c>
      <c r="M24" s="1200"/>
      <c r="N24" s="291">
        <v>1</v>
      </c>
      <c r="O24" s="293">
        <v>1</v>
      </c>
      <c r="P24" s="1200"/>
      <c r="Q24" s="291">
        <v>5</v>
      </c>
      <c r="R24" s="313">
        <v>0.05</v>
      </c>
      <c r="S24" s="293">
        <v>0.15000000000000002</v>
      </c>
      <c r="T24" s="1201"/>
      <c r="U24" s="291">
        <v>10</v>
      </c>
      <c r="V24" s="313">
        <v>0.1</v>
      </c>
      <c r="W24" s="293">
        <v>0.30000000000000004</v>
      </c>
      <c r="X24" s="1200"/>
      <c r="Y24" s="291">
        <v>12</v>
      </c>
      <c r="Z24" s="313">
        <v>0.12</v>
      </c>
      <c r="AA24" s="293">
        <v>0.36</v>
      </c>
      <c r="AB24" s="1200"/>
      <c r="AC24" s="294">
        <v>9</v>
      </c>
      <c r="AD24" s="252">
        <v>0.09</v>
      </c>
      <c r="AE24" s="293">
        <v>0.27</v>
      </c>
      <c r="AF24" s="1202"/>
      <c r="AG24" s="897">
        <v>100</v>
      </c>
      <c r="AH24" s="1212">
        <v>1</v>
      </c>
      <c r="AI24" s="1207">
        <v>1</v>
      </c>
      <c r="AJ24" s="313">
        <v>3</v>
      </c>
      <c r="AK24" s="252">
        <v>1.0900000000000001</v>
      </c>
      <c r="AL24" s="252">
        <v>3.2700000000000005</v>
      </c>
      <c r="AM24" s="694" t="s">
        <v>279</v>
      </c>
      <c r="AN24" s="1202"/>
      <c r="AO24" s="897">
        <v>0</v>
      </c>
      <c r="AP24" s="1207">
        <v>0</v>
      </c>
      <c r="AQ24" s="1207">
        <v>1</v>
      </c>
      <c r="AR24" s="293">
        <v>3</v>
      </c>
      <c r="AS24" s="252">
        <v>2.09</v>
      </c>
      <c r="AT24" s="252">
        <v>6.27</v>
      </c>
      <c r="AU24" s="694" t="s">
        <v>279</v>
      </c>
      <c r="AV24" s="1202"/>
      <c r="AW24" s="897">
        <v>0</v>
      </c>
      <c r="AX24" s="1214">
        <v>0</v>
      </c>
      <c r="AY24" s="1208">
        <v>0</v>
      </c>
      <c r="AZ24" s="293">
        <v>0</v>
      </c>
      <c r="BA24" s="252">
        <v>2.09</v>
      </c>
      <c r="BB24" s="252">
        <v>6.27</v>
      </c>
      <c r="BC24" s="694" t="s">
        <v>279</v>
      </c>
      <c r="BD24" s="1202"/>
      <c r="BE24" s="897">
        <v>200</v>
      </c>
      <c r="BF24" s="252">
        <v>1</v>
      </c>
      <c r="BG24" s="252">
        <v>2</v>
      </c>
      <c r="BH24" s="903">
        <v>6</v>
      </c>
      <c r="BI24" s="252">
        <v>2.09</v>
      </c>
      <c r="BJ24" s="252">
        <v>6.27</v>
      </c>
      <c r="BK24" s="694" t="s">
        <v>279</v>
      </c>
      <c r="BL24" s="1202"/>
      <c r="BM24" s="897">
        <v>0</v>
      </c>
      <c r="BN24" s="252"/>
      <c r="BO24" s="252">
        <v>2.09</v>
      </c>
      <c r="BP24" s="903">
        <v>6.27</v>
      </c>
      <c r="BQ24" s="252">
        <v>2.09</v>
      </c>
      <c r="BR24" s="252">
        <v>6.27</v>
      </c>
      <c r="BS24" s="694" t="s">
        <v>279</v>
      </c>
      <c r="BT24" s="1202"/>
      <c r="BU24" s="897">
        <v>0</v>
      </c>
      <c r="BV24" s="1209">
        <v>0</v>
      </c>
      <c r="BW24" s="1209">
        <v>0</v>
      </c>
      <c r="BX24" s="293">
        <v>0</v>
      </c>
      <c r="BY24" s="252">
        <v>2.09</v>
      </c>
      <c r="BZ24" s="252">
        <v>6.27</v>
      </c>
      <c r="CA24" s="694" t="s">
        <v>279</v>
      </c>
      <c r="CB24" s="1202"/>
      <c r="CC24" s="897">
        <v>0</v>
      </c>
      <c r="CD24" s="1209">
        <v>0</v>
      </c>
      <c r="CE24" s="1209">
        <v>0</v>
      </c>
      <c r="CF24" s="293">
        <v>0</v>
      </c>
      <c r="CG24" s="899">
        <v>2.09</v>
      </c>
      <c r="CH24" s="252">
        <v>6.27</v>
      </c>
      <c r="CI24" s="694" t="s">
        <v>279</v>
      </c>
      <c r="CJ24" s="1202"/>
      <c r="CK24" s="897">
        <v>99.000000000000014</v>
      </c>
      <c r="CL24" s="1209">
        <v>0.1111111111111111</v>
      </c>
      <c r="CM24" s="1209">
        <v>0.11</v>
      </c>
      <c r="CN24" s="293">
        <v>0.33</v>
      </c>
      <c r="CO24" s="252">
        <v>2.1999999999999997</v>
      </c>
      <c r="CP24" s="252">
        <v>6.6</v>
      </c>
      <c r="CQ24" s="694" t="s">
        <v>279</v>
      </c>
      <c r="CR24" s="1202"/>
      <c r="CS24" s="897">
        <v>99.000000000000014</v>
      </c>
      <c r="CT24" s="252">
        <v>0.1111111111111111</v>
      </c>
      <c r="CU24" s="252">
        <v>0.11</v>
      </c>
      <c r="CV24" s="293">
        <v>0.33</v>
      </c>
      <c r="CW24" s="252">
        <v>2.1999999999999997</v>
      </c>
      <c r="CX24" s="252">
        <v>6.6</v>
      </c>
      <c r="CY24" s="694" t="s">
        <v>279</v>
      </c>
      <c r="CZ24" s="1202"/>
      <c r="DA24" s="897">
        <v>1979.9999999999998</v>
      </c>
      <c r="DB24" s="252">
        <v>0.1111111111111111</v>
      </c>
      <c r="DC24" s="252">
        <v>2.1999999999999997</v>
      </c>
      <c r="DD24" s="293">
        <v>6.6</v>
      </c>
      <c r="DE24" s="252">
        <v>2.1999999999999997</v>
      </c>
      <c r="DF24" s="252">
        <v>6.6</v>
      </c>
      <c r="DG24" s="694" t="s">
        <v>279</v>
      </c>
      <c r="DH24" s="1202"/>
      <c r="DI24" s="897">
        <v>103.95</v>
      </c>
      <c r="DJ24" s="1209">
        <v>0.1111111111111111</v>
      </c>
      <c r="DK24" s="1209">
        <v>0.11550000000000001</v>
      </c>
      <c r="DL24" s="293">
        <v>0.34650000000000003</v>
      </c>
      <c r="DM24" s="252">
        <v>2.3154999999999997</v>
      </c>
      <c r="DN24" s="252">
        <v>6.9464999999999986</v>
      </c>
      <c r="DO24" s="694" t="s">
        <v>279</v>
      </c>
      <c r="DP24" s="1202"/>
      <c r="DQ24" s="897">
        <v>0</v>
      </c>
      <c r="DR24" s="1209">
        <v>0.1111111111111111</v>
      </c>
      <c r="DS24" s="1209"/>
      <c r="DT24" s="293">
        <v>0</v>
      </c>
      <c r="DU24" s="252">
        <v>2.3154999999999997</v>
      </c>
      <c r="DV24" s="252">
        <v>6.9464999999999986</v>
      </c>
      <c r="DW24" s="694" t="s">
        <v>279</v>
      </c>
      <c r="DX24" s="1202"/>
      <c r="DY24" s="897">
        <v>0</v>
      </c>
      <c r="DZ24" s="1209">
        <v>0.1111111111111111</v>
      </c>
      <c r="EA24" s="1209"/>
      <c r="EB24" s="293">
        <v>0</v>
      </c>
      <c r="EC24" s="245">
        <v>2.3154999999999997</v>
      </c>
      <c r="ED24" s="295">
        <v>6.9464999999999986</v>
      </c>
      <c r="EE24" s="246" t="s">
        <v>279</v>
      </c>
      <c r="EF24" s="323"/>
      <c r="EG24" s="897">
        <v>34.650000000000006</v>
      </c>
      <c r="EH24" s="245">
        <v>0.33333333333333331</v>
      </c>
      <c r="EI24" s="245">
        <v>0.11550000000000001</v>
      </c>
      <c r="EJ24" s="413">
        <v>0.34650000000000003</v>
      </c>
      <c r="EK24" s="245">
        <v>2.3154999999999997</v>
      </c>
      <c r="EL24" s="295">
        <v>6.9464999999999986</v>
      </c>
      <c r="EM24" s="246" t="s">
        <v>279</v>
      </c>
      <c r="EN24" s="323"/>
      <c r="EO24" s="897">
        <v>50.737500000000004</v>
      </c>
      <c r="EP24" s="245">
        <v>0.44444444444444442</v>
      </c>
      <c r="EQ24" s="245">
        <v>0.22550000000000001</v>
      </c>
      <c r="ER24" s="413">
        <v>0.67649999999999999</v>
      </c>
      <c r="ES24" s="245">
        <v>2.3154999999999997</v>
      </c>
      <c r="ET24" s="295">
        <v>6.9464999999999986</v>
      </c>
      <c r="EU24" s="246" t="s">
        <v>279</v>
      </c>
      <c r="EV24" s="323"/>
      <c r="EW24" s="897">
        <v>520.98749999999995</v>
      </c>
      <c r="EX24" s="245">
        <v>0.44444444444444442</v>
      </c>
      <c r="EY24" s="245">
        <v>2.3154999999999997</v>
      </c>
      <c r="EZ24" s="413">
        <v>6.9464999999999986</v>
      </c>
      <c r="FA24" s="245">
        <v>2.3154999999999997</v>
      </c>
      <c r="FB24" s="295">
        <v>6.9464999999999986</v>
      </c>
      <c r="FC24" s="246" t="s">
        <v>279</v>
      </c>
    </row>
    <row r="25" spans="2:159" ht="20.100000000000001" customHeight="1">
      <c r="B25" s="1733"/>
      <c r="C25" s="1819"/>
      <c r="D25" s="191" t="s">
        <v>141</v>
      </c>
      <c r="E25" s="886" t="s">
        <v>73</v>
      </c>
      <c r="F25" s="873">
        <v>500</v>
      </c>
      <c r="G25" s="874">
        <v>15</v>
      </c>
      <c r="H25" s="1198"/>
      <c r="I25" s="1206">
        <v>250</v>
      </c>
      <c r="J25" s="985">
        <v>100</v>
      </c>
      <c r="K25" s="1152">
        <v>80</v>
      </c>
      <c r="L25" s="305">
        <v>2.4</v>
      </c>
      <c r="M25" s="1200"/>
      <c r="N25" s="1215">
        <v>100</v>
      </c>
      <c r="O25" s="986">
        <v>120</v>
      </c>
      <c r="P25" s="1200"/>
      <c r="Q25" s="291">
        <v>5</v>
      </c>
      <c r="R25" s="313">
        <v>6</v>
      </c>
      <c r="S25" s="293">
        <v>0.18</v>
      </c>
      <c r="T25" s="1201"/>
      <c r="U25" s="291">
        <v>10</v>
      </c>
      <c r="V25" s="313">
        <v>12</v>
      </c>
      <c r="W25" s="293">
        <v>0.36</v>
      </c>
      <c r="X25" s="1200"/>
      <c r="Y25" s="291">
        <v>10</v>
      </c>
      <c r="Z25" s="313">
        <v>12</v>
      </c>
      <c r="AA25" s="293">
        <v>0.36</v>
      </c>
      <c r="AB25" s="1200"/>
      <c r="AC25" s="294">
        <v>8.3333333333333339</v>
      </c>
      <c r="AD25" s="252">
        <v>10.000000000000002</v>
      </c>
      <c r="AE25" s="293">
        <v>0.30000000000000004</v>
      </c>
      <c r="AF25" s="1202"/>
      <c r="AG25" s="897">
        <v>0</v>
      </c>
      <c r="AH25" s="1212">
        <v>13.333333333333334</v>
      </c>
      <c r="AI25" s="1207">
        <v>0</v>
      </c>
      <c r="AJ25" s="313">
        <v>0</v>
      </c>
      <c r="AK25" s="252">
        <v>10.000000000000002</v>
      </c>
      <c r="AL25" s="252">
        <v>0.30000000000000004</v>
      </c>
      <c r="AM25" s="694" t="s">
        <v>279</v>
      </c>
      <c r="AN25" s="1202"/>
      <c r="AO25" s="897">
        <v>0</v>
      </c>
      <c r="AP25" s="1212">
        <v>13.333333333333334</v>
      </c>
      <c r="AQ25" s="1207">
        <v>0</v>
      </c>
      <c r="AR25" s="293">
        <v>0</v>
      </c>
      <c r="AS25" s="252">
        <v>10.000000000000002</v>
      </c>
      <c r="AT25" s="252">
        <v>0.30000000000000004</v>
      </c>
      <c r="AU25" s="694" t="s">
        <v>279</v>
      </c>
      <c r="AV25" s="1202"/>
      <c r="AW25" s="897">
        <v>97.5</v>
      </c>
      <c r="AX25" s="1212">
        <v>13.333333333333334</v>
      </c>
      <c r="AY25" s="1208">
        <v>13</v>
      </c>
      <c r="AZ25" s="293">
        <v>0.39</v>
      </c>
      <c r="BA25" s="252">
        <v>23</v>
      </c>
      <c r="BB25" s="252">
        <v>0.69</v>
      </c>
      <c r="BC25" s="694" t="s">
        <v>279</v>
      </c>
      <c r="BD25" s="1202"/>
      <c r="BE25" s="897">
        <v>32.5</v>
      </c>
      <c r="BF25" s="252">
        <v>40</v>
      </c>
      <c r="BG25" s="252">
        <v>13</v>
      </c>
      <c r="BH25" s="293">
        <v>0.38999999999999996</v>
      </c>
      <c r="BI25" s="252">
        <v>23</v>
      </c>
      <c r="BJ25" s="252">
        <v>0.69</v>
      </c>
      <c r="BK25" s="694" t="s">
        <v>279</v>
      </c>
      <c r="BL25" s="1202"/>
      <c r="BM25" s="897">
        <v>0</v>
      </c>
      <c r="BN25" s="252"/>
      <c r="BO25" s="252">
        <v>23</v>
      </c>
      <c r="BP25" s="293">
        <v>0.69</v>
      </c>
      <c r="BQ25" s="252">
        <v>23</v>
      </c>
      <c r="BR25" s="252">
        <v>0.69</v>
      </c>
      <c r="BS25" s="694" t="s">
        <v>279</v>
      </c>
      <c r="BT25" s="1202"/>
      <c r="BU25" s="897">
        <v>37.5</v>
      </c>
      <c r="BV25" s="1212">
        <v>13.333333333333334</v>
      </c>
      <c r="BW25" s="1209">
        <v>5</v>
      </c>
      <c r="BX25" s="293">
        <v>0.15</v>
      </c>
      <c r="BY25" s="252">
        <v>28</v>
      </c>
      <c r="BZ25" s="252">
        <v>0.84</v>
      </c>
      <c r="CA25" s="694" t="s">
        <v>279</v>
      </c>
      <c r="CB25" s="1202"/>
      <c r="CC25" s="897">
        <v>112.5</v>
      </c>
      <c r="CD25" s="1212">
        <v>13.333333333333334</v>
      </c>
      <c r="CE25" s="1209">
        <v>15</v>
      </c>
      <c r="CF25" s="293">
        <v>0.44999999999999996</v>
      </c>
      <c r="CG25" s="899">
        <v>43</v>
      </c>
      <c r="CH25" s="252">
        <v>1.2899999999999998</v>
      </c>
      <c r="CI25" s="694" t="s">
        <v>279</v>
      </c>
      <c r="CJ25" s="1202"/>
      <c r="CK25" s="897">
        <v>0</v>
      </c>
      <c r="CL25" s="1209">
        <v>13.333333333333334</v>
      </c>
      <c r="CM25" s="1209">
        <v>0</v>
      </c>
      <c r="CN25" s="293">
        <v>0</v>
      </c>
      <c r="CO25" s="252">
        <v>43</v>
      </c>
      <c r="CP25" s="252">
        <v>1.2899999999999998</v>
      </c>
      <c r="CQ25" s="694" t="s">
        <v>279</v>
      </c>
      <c r="CR25" s="1202"/>
      <c r="CS25" s="897">
        <v>50</v>
      </c>
      <c r="CT25" s="1152">
        <v>40</v>
      </c>
      <c r="CU25" s="1152">
        <v>20</v>
      </c>
      <c r="CV25" s="293">
        <v>0.6</v>
      </c>
      <c r="CW25" s="252">
        <v>43</v>
      </c>
      <c r="CX25" s="252">
        <v>1.2899999999999998</v>
      </c>
      <c r="CY25" s="694" t="s">
        <v>279</v>
      </c>
      <c r="CZ25" s="1202"/>
      <c r="DA25" s="897">
        <v>107.5</v>
      </c>
      <c r="DB25" s="1152">
        <v>40</v>
      </c>
      <c r="DC25" s="1152">
        <v>43</v>
      </c>
      <c r="DD25" s="293">
        <v>1.2899999999999998</v>
      </c>
      <c r="DE25" s="252">
        <v>43</v>
      </c>
      <c r="DF25" s="252">
        <v>1.2899999999999998</v>
      </c>
      <c r="DG25" s="694" t="s">
        <v>279</v>
      </c>
      <c r="DH25" s="1202"/>
      <c r="DI25" s="897">
        <v>0</v>
      </c>
      <c r="DJ25" s="1209">
        <v>13.333333333333334</v>
      </c>
      <c r="DK25" s="1209">
        <v>0</v>
      </c>
      <c r="DL25" s="293">
        <v>0</v>
      </c>
      <c r="DM25" s="252">
        <v>43</v>
      </c>
      <c r="DN25" s="252">
        <v>1.2899999999999998</v>
      </c>
      <c r="DO25" s="694" t="s">
        <v>279</v>
      </c>
      <c r="DP25" s="1202"/>
      <c r="DQ25" s="897">
        <v>0</v>
      </c>
      <c r="DR25" s="1209">
        <v>13.333333333333334</v>
      </c>
      <c r="DS25" s="1209"/>
      <c r="DT25" s="293">
        <v>0</v>
      </c>
      <c r="DU25" s="252">
        <v>43</v>
      </c>
      <c r="DV25" s="252">
        <v>1.2899999999999998</v>
      </c>
      <c r="DW25" s="694" t="s">
        <v>279</v>
      </c>
      <c r="DX25" s="1202"/>
      <c r="DY25" s="897">
        <v>0</v>
      </c>
      <c r="DZ25" s="1209">
        <v>13.333333333333334</v>
      </c>
      <c r="EA25" s="1209"/>
      <c r="EB25" s="293">
        <v>0</v>
      </c>
      <c r="EC25" s="245">
        <v>43</v>
      </c>
      <c r="ED25" s="295">
        <v>1.2899999999999998</v>
      </c>
      <c r="EE25" s="246" t="s">
        <v>279</v>
      </c>
      <c r="EF25" s="323"/>
      <c r="EG25" s="897">
        <v>0</v>
      </c>
      <c r="EH25" s="245">
        <v>40</v>
      </c>
      <c r="EI25" s="245">
        <v>0</v>
      </c>
      <c r="EJ25" s="413">
        <v>0</v>
      </c>
      <c r="EK25" s="245">
        <v>43</v>
      </c>
      <c r="EL25" s="295">
        <v>1.2899999999999998</v>
      </c>
      <c r="EM25" s="246" t="s">
        <v>279</v>
      </c>
      <c r="EN25" s="323"/>
      <c r="EO25" s="897">
        <v>25</v>
      </c>
      <c r="EP25" s="245">
        <v>80</v>
      </c>
      <c r="EQ25" s="245">
        <v>20</v>
      </c>
      <c r="ER25" s="413">
        <v>0.6</v>
      </c>
      <c r="ES25" s="245">
        <v>43</v>
      </c>
      <c r="ET25" s="295">
        <v>1.2899999999999998</v>
      </c>
      <c r="EU25" s="246" t="s">
        <v>279</v>
      </c>
      <c r="EV25" s="323"/>
      <c r="EW25" s="897">
        <v>53.75</v>
      </c>
      <c r="EX25" s="245">
        <v>80</v>
      </c>
      <c r="EY25" s="245">
        <v>43</v>
      </c>
      <c r="EZ25" s="413">
        <v>1.2899999999999998</v>
      </c>
      <c r="FA25" s="245">
        <v>43</v>
      </c>
      <c r="FB25" s="295">
        <v>1.2899999999999998</v>
      </c>
      <c r="FC25" s="246" t="s">
        <v>279</v>
      </c>
    </row>
    <row r="26" spans="2:159" ht="20.100000000000001" customHeight="1">
      <c r="B26" s="1733"/>
      <c r="C26" s="1819"/>
      <c r="D26" s="191" t="s">
        <v>140</v>
      </c>
      <c r="E26" s="891" t="s">
        <v>73</v>
      </c>
      <c r="F26" s="873">
        <v>20000</v>
      </c>
      <c r="G26" s="874">
        <v>25</v>
      </c>
      <c r="H26" s="1198"/>
      <c r="I26" s="1206">
        <v>2500</v>
      </c>
      <c r="J26" s="985">
        <v>4000</v>
      </c>
      <c r="K26" s="1152">
        <v>2200</v>
      </c>
      <c r="L26" s="305">
        <v>2.75</v>
      </c>
      <c r="M26" s="1200"/>
      <c r="N26" s="1215">
        <v>4000</v>
      </c>
      <c r="O26" s="986">
        <v>5800</v>
      </c>
      <c r="P26" s="1200"/>
      <c r="Q26" s="291">
        <v>5</v>
      </c>
      <c r="R26" s="313">
        <v>290</v>
      </c>
      <c r="S26" s="293">
        <v>0.36250000000000004</v>
      </c>
      <c r="T26" s="1201"/>
      <c r="U26" s="291">
        <v>10</v>
      </c>
      <c r="V26" s="313">
        <v>580</v>
      </c>
      <c r="W26" s="293">
        <v>0.72500000000000009</v>
      </c>
      <c r="X26" s="1200"/>
      <c r="Y26" s="291">
        <v>10</v>
      </c>
      <c r="Z26" s="313">
        <v>580</v>
      </c>
      <c r="AA26" s="293">
        <v>0.72500000000000009</v>
      </c>
      <c r="AB26" s="1200"/>
      <c r="AC26" s="294">
        <v>8.3333333333333339</v>
      </c>
      <c r="AD26" s="252">
        <v>483.33333333333337</v>
      </c>
      <c r="AE26" s="293">
        <v>0.60416666666666674</v>
      </c>
      <c r="AF26" s="1202"/>
      <c r="AG26" s="897">
        <v>0</v>
      </c>
      <c r="AH26" s="1212">
        <v>644.44444444444446</v>
      </c>
      <c r="AI26" s="1207">
        <v>0</v>
      </c>
      <c r="AJ26" s="313">
        <v>0</v>
      </c>
      <c r="AK26" s="252">
        <v>483.33333333333337</v>
      </c>
      <c r="AL26" s="252">
        <v>0.60416666666666674</v>
      </c>
      <c r="AM26" s="694" t="s">
        <v>279</v>
      </c>
      <c r="AN26" s="1202"/>
      <c r="AO26" s="897">
        <v>0</v>
      </c>
      <c r="AP26" s="1212">
        <v>644.44444444444446</v>
      </c>
      <c r="AQ26" s="1207">
        <v>0</v>
      </c>
      <c r="AR26" s="293">
        <v>0</v>
      </c>
      <c r="AS26" s="252">
        <v>483.33333333333337</v>
      </c>
      <c r="AT26" s="252">
        <v>0.60416666666666674</v>
      </c>
      <c r="AU26" s="694" t="s">
        <v>279</v>
      </c>
      <c r="AV26" s="1202"/>
      <c r="AW26" s="897">
        <v>14.741379310344826</v>
      </c>
      <c r="AX26" s="1212">
        <v>644.44444444444446</v>
      </c>
      <c r="AY26" s="1208">
        <v>95</v>
      </c>
      <c r="AZ26" s="293">
        <v>0.11875000000000001</v>
      </c>
      <c r="BA26" s="252">
        <v>578.33333333333337</v>
      </c>
      <c r="BB26" s="252">
        <v>0.72291666666666665</v>
      </c>
      <c r="BC26" s="694" t="s">
        <v>279</v>
      </c>
      <c r="BD26" s="1202"/>
      <c r="BE26" s="897">
        <v>4.9137931034482749</v>
      </c>
      <c r="BF26" s="252">
        <v>1933.3333333333335</v>
      </c>
      <c r="BG26" s="252">
        <v>95</v>
      </c>
      <c r="BH26" s="293">
        <v>0.11874999999999999</v>
      </c>
      <c r="BI26" s="252">
        <v>578.33333333333337</v>
      </c>
      <c r="BJ26" s="252">
        <v>0.72291666666666665</v>
      </c>
      <c r="BK26" s="694" t="s">
        <v>279</v>
      </c>
      <c r="BL26" s="1202"/>
      <c r="BM26" s="897">
        <v>0</v>
      </c>
      <c r="BN26" s="252"/>
      <c r="BO26" s="252">
        <v>578.33333333333337</v>
      </c>
      <c r="BP26" s="293">
        <v>0.72291666666666665</v>
      </c>
      <c r="BQ26" s="252">
        <v>578.33333333333337</v>
      </c>
      <c r="BR26" s="252">
        <v>0.72291666666666665</v>
      </c>
      <c r="BS26" s="694" t="s">
        <v>279</v>
      </c>
      <c r="BT26" s="1202"/>
      <c r="BU26" s="897">
        <v>1.2413793103448276</v>
      </c>
      <c r="BV26" s="1212">
        <v>644.44444444444446</v>
      </c>
      <c r="BW26" s="1209">
        <v>8</v>
      </c>
      <c r="BX26" s="293">
        <v>0.01</v>
      </c>
      <c r="BY26" s="252">
        <v>586.33333333333337</v>
      </c>
      <c r="BZ26" s="252">
        <v>0.73291666666666666</v>
      </c>
      <c r="CA26" s="694" t="s">
        <v>279</v>
      </c>
      <c r="CB26" s="1202"/>
      <c r="CC26" s="897">
        <v>12.413793103448276</v>
      </c>
      <c r="CD26" s="1212">
        <v>644.44444444444446</v>
      </c>
      <c r="CE26" s="1209">
        <v>80</v>
      </c>
      <c r="CF26" s="293">
        <v>0.1</v>
      </c>
      <c r="CG26" s="899">
        <v>666.33333333333337</v>
      </c>
      <c r="CH26" s="252">
        <v>0.83291666666666675</v>
      </c>
      <c r="CI26" s="694" t="s">
        <v>279</v>
      </c>
      <c r="CJ26" s="1202"/>
      <c r="CK26" s="897">
        <v>0</v>
      </c>
      <c r="CL26" s="1209">
        <v>644.44444444444446</v>
      </c>
      <c r="CM26" s="1209">
        <v>0</v>
      </c>
      <c r="CN26" s="293">
        <v>0</v>
      </c>
      <c r="CO26" s="252">
        <v>666.33333333333337</v>
      </c>
      <c r="CP26" s="252">
        <v>0.83291666666666675</v>
      </c>
      <c r="CQ26" s="694" t="s">
        <v>279</v>
      </c>
      <c r="CR26" s="1202"/>
      <c r="CS26" s="897">
        <v>4.5517241379310338</v>
      </c>
      <c r="CT26" s="1152">
        <v>1933.3333333333335</v>
      </c>
      <c r="CU26" s="1152">
        <v>88</v>
      </c>
      <c r="CV26" s="293">
        <v>0.11</v>
      </c>
      <c r="CW26" s="252">
        <v>666.33333333333337</v>
      </c>
      <c r="CX26" s="252">
        <v>0.83291666666666675</v>
      </c>
      <c r="CY26" s="694" t="s">
        <v>279</v>
      </c>
      <c r="CZ26" s="1202"/>
      <c r="DA26" s="897">
        <v>34.46551724137931</v>
      </c>
      <c r="DB26" s="1152">
        <v>1933.3333333333335</v>
      </c>
      <c r="DC26" s="1152">
        <v>666.33333333333337</v>
      </c>
      <c r="DD26" s="293">
        <v>0.83291666666666675</v>
      </c>
      <c r="DE26" s="252">
        <v>666.33333333333337</v>
      </c>
      <c r="DF26" s="252">
        <v>0.83291666666666675</v>
      </c>
      <c r="DG26" s="694" t="s">
        <v>279</v>
      </c>
      <c r="DH26" s="1202"/>
      <c r="DI26" s="897">
        <v>0</v>
      </c>
      <c r="DJ26" s="1209">
        <v>644.44444444444446</v>
      </c>
      <c r="DK26" s="1209">
        <v>0</v>
      </c>
      <c r="DL26" s="293">
        <v>0</v>
      </c>
      <c r="DM26" s="252">
        <v>666.33333333333337</v>
      </c>
      <c r="DN26" s="252">
        <v>0.83291666666666675</v>
      </c>
      <c r="DO26" s="694" t="s">
        <v>279</v>
      </c>
      <c r="DP26" s="1202"/>
      <c r="DQ26" s="897">
        <v>0</v>
      </c>
      <c r="DR26" s="1209">
        <v>644.44444444444446</v>
      </c>
      <c r="DS26" s="1209"/>
      <c r="DT26" s="293">
        <v>0</v>
      </c>
      <c r="DU26" s="252">
        <v>666.33333333333337</v>
      </c>
      <c r="DV26" s="252">
        <v>0.83291666666666675</v>
      </c>
      <c r="DW26" s="694" t="s">
        <v>279</v>
      </c>
      <c r="DX26" s="1202"/>
      <c r="DY26" s="897">
        <v>0</v>
      </c>
      <c r="DZ26" s="1209">
        <v>644.44444444444446</v>
      </c>
      <c r="EA26" s="1209"/>
      <c r="EB26" s="293">
        <v>0</v>
      </c>
      <c r="EC26" s="245">
        <v>666.33333333333337</v>
      </c>
      <c r="ED26" s="295">
        <v>0.83291666666666675</v>
      </c>
      <c r="EE26" s="246" t="s">
        <v>279</v>
      </c>
      <c r="EF26" s="323"/>
      <c r="EG26" s="897">
        <v>0</v>
      </c>
      <c r="EH26" s="1152">
        <v>1933.3333333333335</v>
      </c>
      <c r="EI26" s="245">
        <v>0</v>
      </c>
      <c r="EJ26" s="413">
        <v>0</v>
      </c>
      <c r="EK26" s="245">
        <v>666.33333333333337</v>
      </c>
      <c r="EL26" s="295">
        <v>0.83291666666666675</v>
      </c>
      <c r="EM26" s="246" t="s">
        <v>279</v>
      </c>
      <c r="EN26" s="323"/>
      <c r="EO26" s="897">
        <v>2.2758620689655169</v>
      </c>
      <c r="EP26" s="1152">
        <v>3866.666666666667</v>
      </c>
      <c r="EQ26" s="245">
        <v>88</v>
      </c>
      <c r="ER26" s="413">
        <v>0.11</v>
      </c>
      <c r="ES26" s="245">
        <v>666.33333333333337</v>
      </c>
      <c r="ET26" s="295">
        <v>0.83291666666666675</v>
      </c>
      <c r="EU26" s="246" t="s">
        <v>279</v>
      </c>
      <c r="EV26" s="323"/>
      <c r="EW26" s="897">
        <v>17.232758620689655</v>
      </c>
      <c r="EX26" s="1152">
        <v>3866.666666666667</v>
      </c>
      <c r="EY26" s="245">
        <v>666.33333333333337</v>
      </c>
      <c r="EZ26" s="413">
        <v>0.83291666666666675</v>
      </c>
      <c r="FA26" s="245">
        <v>666.33333333333337</v>
      </c>
      <c r="FB26" s="295">
        <v>0.83291666666666675</v>
      </c>
      <c r="FC26" s="246" t="s">
        <v>279</v>
      </c>
    </row>
    <row r="27" spans="2:159" ht="20.100000000000001" customHeight="1">
      <c r="B27" s="1733"/>
      <c r="C27" s="1819"/>
      <c r="D27" s="191" t="s">
        <v>142</v>
      </c>
      <c r="E27" s="891" t="s">
        <v>73</v>
      </c>
      <c r="F27" s="873">
        <v>20000</v>
      </c>
      <c r="G27" s="874">
        <v>20</v>
      </c>
      <c r="H27" s="1198"/>
      <c r="I27" s="1206">
        <v>2000</v>
      </c>
      <c r="J27" s="985">
        <v>4000</v>
      </c>
      <c r="K27" s="1152">
        <v>2750</v>
      </c>
      <c r="L27" s="305">
        <v>2.75</v>
      </c>
      <c r="M27" s="1200"/>
      <c r="N27" s="1215">
        <v>4000</v>
      </c>
      <c r="O27" s="986">
        <v>5250</v>
      </c>
      <c r="P27" s="1200"/>
      <c r="Q27" s="291">
        <v>0</v>
      </c>
      <c r="R27" s="313">
        <v>0</v>
      </c>
      <c r="S27" s="293">
        <v>0</v>
      </c>
      <c r="T27" s="1201"/>
      <c r="U27" s="291">
        <v>0</v>
      </c>
      <c r="V27" s="313">
        <v>0</v>
      </c>
      <c r="W27" s="293">
        <v>0</v>
      </c>
      <c r="X27" s="1200"/>
      <c r="Y27" s="291">
        <v>0</v>
      </c>
      <c r="Z27" s="313">
        <v>0</v>
      </c>
      <c r="AA27" s="293">
        <v>0</v>
      </c>
      <c r="AB27" s="1200"/>
      <c r="AC27" s="294">
        <v>0</v>
      </c>
      <c r="AD27" s="252">
        <v>0</v>
      </c>
      <c r="AE27" s="293">
        <v>0</v>
      </c>
      <c r="AF27" s="1202"/>
      <c r="AG27" s="897">
        <v>0</v>
      </c>
      <c r="AH27" s="1212">
        <v>583.33333333333337</v>
      </c>
      <c r="AI27" s="1207">
        <v>0</v>
      </c>
      <c r="AJ27" s="313">
        <v>0</v>
      </c>
      <c r="AK27" s="252">
        <v>0</v>
      </c>
      <c r="AL27" s="252">
        <v>0</v>
      </c>
      <c r="AM27" s="694" t="s">
        <v>279</v>
      </c>
      <c r="AN27" s="1202"/>
      <c r="AO27" s="897">
        <v>0</v>
      </c>
      <c r="AP27" s="1212">
        <v>583.33333333333337</v>
      </c>
      <c r="AQ27" s="1207">
        <v>0</v>
      </c>
      <c r="AR27" s="293">
        <v>0</v>
      </c>
      <c r="AS27" s="252">
        <v>0</v>
      </c>
      <c r="AT27" s="252">
        <v>0</v>
      </c>
      <c r="AU27" s="694" t="s">
        <v>279</v>
      </c>
      <c r="AV27" s="1202"/>
      <c r="AW27" s="897">
        <v>17.142857142857142</v>
      </c>
      <c r="AX27" s="1212">
        <v>583.33333333333337</v>
      </c>
      <c r="AY27" s="1208">
        <v>100</v>
      </c>
      <c r="AZ27" s="293">
        <v>0.1</v>
      </c>
      <c r="BA27" s="252">
        <v>100</v>
      </c>
      <c r="BB27" s="252">
        <v>0.1</v>
      </c>
      <c r="BC27" s="694" t="s">
        <v>279</v>
      </c>
      <c r="BD27" s="1202"/>
      <c r="BE27" s="897">
        <v>5.7142857142857144</v>
      </c>
      <c r="BF27" s="252">
        <v>1750</v>
      </c>
      <c r="BG27" s="252">
        <v>100</v>
      </c>
      <c r="BH27" s="293">
        <v>0.1</v>
      </c>
      <c r="BI27" s="252">
        <v>100</v>
      </c>
      <c r="BJ27" s="252">
        <v>0.1</v>
      </c>
      <c r="BK27" s="694" t="s">
        <v>279</v>
      </c>
      <c r="BL27" s="1202"/>
      <c r="BM27" s="897">
        <v>0</v>
      </c>
      <c r="BN27" s="252"/>
      <c r="BO27" s="252">
        <v>100</v>
      </c>
      <c r="BP27" s="293">
        <v>0.1</v>
      </c>
      <c r="BQ27" s="252">
        <v>100</v>
      </c>
      <c r="BR27" s="252">
        <v>0.1</v>
      </c>
      <c r="BS27" s="694" t="s">
        <v>279</v>
      </c>
      <c r="BT27" s="1202"/>
      <c r="BU27" s="897">
        <v>1.2</v>
      </c>
      <c r="BV27" s="1212">
        <v>583.33333333333337</v>
      </c>
      <c r="BW27" s="1209">
        <v>7</v>
      </c>
      <c r="BX27" s="293">
        <v>7.0000000000000001E-3</v>
      </c>
      <c r="BY27" s="252">
        <v>107</v>
      </c>
      <c r="BZ27" s="252">
        <v>0.107</v>
      </c>
      <c r="CA27" s="694" t="s">
        <v>279</v>
      </c>
      <c r="CB27" s="1202"/>
      <c r="CC27" s="897">
        <v>9.428571428571427</v>
      </c>
      <c r="CD27" s="1212">
        <v>583.33333333333337</v>
      </c>
      <c r="CE27" s="1209">
        <v>55</v>
      </c>
      <c r="CF27" s="293">
        <v>5.5E-2</v>
      </c>
      <c r="CG27" s="899">
        <v>162</v>
      </c>
      <c r="CH27" s="252">
        <v>0.16199999999999998</v>
      </c>
      <c r="CI27" s="694" t="s">
        <v>279</v>
      </c>
      <c r="CJ27" s="1202"/>
      <c r="CK27" s="897">
        <v>41.142857142857139</v>
      </c>
      <c r="CL27" s="1209">
        <v>583.33333333333337</v>
      </c>
      <c r="CM27" s="1209">
        <v>240</v>
      </c>
      <c r="CN27" s="293">
        <v>0.24</v>
      </c>
      <c r="CO27" s="252">
        <v>402</v>
      </c>
      <c r="CP27" s="252">
        <v>0.40200000000000002</v>
      </c>
      <c r="CQ27" s="694" t="s">
        <v>279</v>
      </c>
      <c r="CR27" s="1202"/>
      <c r="CS27" s="897">
        <v>17.257142857142856</v>
      </c>
      <c r="CT27" s="1152">
        <v>1750</v>
      </c>
      <c r="CU27" s="1152">
        <v>302</v>
      </c>
      <c r="CV27" s="293">
        <v>0.30199999999999999</v>
      </c>
      <c r="CW27" s="252">
        <v>402</v>
      </c>
      <c r="CX27" s="252">
        <v>0.40200000000000002</v>
      </c>
      <c r="CY27" s="694" t="s">
        <v>279</v>
      </c>
      <c r="CZ27" s="1202"/>
      <c r="DA27" s="897">
        <v>22.971428571428572</v>
      </c>
      <c r="DB27" s="1152">
        <v>1750</v>
      </c>
      <c r="DC27" s="1152">
        <v>402</v>
      </c>
      <c r="DD27" s="293">
        <v>0.40200000000000002</v>
      </c>
      <c r="DE27" s="252">
        <v>402</v>
      </c>
      <c r="DF27" s="252">
        <v>0.40200000000000002</v>
      </c>
      <c r="DG27" s="694" t="s">
        <v>279</v>
      </c>
      <c r="DH27" s="1202"/>
      <c r="DI27" s="897">
        <v>43.2</v>
      </c>
      <c r="DJ27" s="1209">
        <v>583.33333333333337</v>
      </c>
      <c r="DK27" s="1209">
        <v>252</v>
      </c>
      <c r="DL27" s="293">
        <v>0.252</v>
      </c>
      <c r="DM27" s="252">
        <v>654</v>
      </c>
      <c r="DN27" s="252">
        <v>0.65400000000000003</v>
      </c>
      <c r="DO27" s="694" t="s">
        <v>279</v>
      </c>
      <c r="DP27" s="1202"/>
      <c r="DQ27" s="897">
        <v>0</v>
      </c>
      <c r="DR27" s="1209">
        <v>583.33333333333337</v>
      </c>
      <c r="DS27" s="1209"/>
      <c r="DT27" s="293">
        <v>0</v>
      </c>
      <c r="DU27" s="252">
        <v>654</v>
      </c>
      <c r="DV27" s="252">
        <v>0.65400000000000003</v>
      </c>
      <c r="DW27" s="694" t="s">
        <v>279</v>
      </c>
      <c r="DX27" s="1202"/>
      <c r="DY27" s="897">
        <v>0</v>
      </c>
      <c r="DZ27" s="1209">
        <v>583.33333333333337</v>
      </c>
      <c r="EA27" s="1209"/>
      <c r="EB27" s="293">
        <v>0</v>
      </c>
      <c r="EC27" s="245">
        <v>654</v>
      </c>
      <c r="ED27" s="295">
        <v>0.65400000000000003</v>
      </c>
      <c r="EE27" s="246" t="s">
        <v>279</v>
      </c>
      <c r="EF27" s="323"/>
      <c r="EG27" s="897">
        <v>14.399999999999999</v>
      </c>
      <c r="EH27" s="1152">
        <v>1750</v>
      </c>
      <c r="EI27" s="245">
        <v>252</v>
      </c>
      <c r="EJ27" s="413">
        <v>0.252</v>
      </c>
      <c r="EK27" s="245">
        <v>654</v>
      </c>
      <c r="EL27" s="295">
        <v>0.65400000000000003</v>
      </c>
      <c r="EM27" s="246" t="s">
        <v>279</v>
      </c>
      <c r="EN27" s="323"/>
      <c r="EO27" s="897">
        <v>15.828571428571427</v>
      </c>
      <c r="EP27" s="1152">
        <v>3500</v>
      </c>
      <c r="EQ27" s="245">
        <v>554</v>
      </c>
      <c r="ER27" s="413">
        <v>0.55399999999999994</v>
      </c>
      <c r="ES27" s="245">
        <v>654</v>
      </c>
      <c r="ET27" s="295">
        <v>0.65400000000000003</v>
      </c>
      <c r="EU27" s="246" t="s">
        <v>279</v>
      </c>
      <c r="EV27" s="323"/>
      <c r="EW27" s="897">
        <v>18.685714285714287</v>
      </c>
      <c r="EX27" s="1152">
        <v>3500</v>
      </c>
      <c r="EY27" s="245">
        <v>654</v>
      </c>
      <c r="EZ27" s="413">
        <v>0.65400000000000003</v>
      </c>
      <c r="FA27" s="245">
        <v>654</v>
      </c>
      <c r="FB27" s="295">
        <v>0.65400000000000003</v>
      </c>
      <c r="FC27" s="246" t="s">
        <v>279</v>
      </c>
    </row>
    <row r="28" spans="2:159" ht="30" customHeight="1">
      <c r="B28" s="1734"/>
      <c r="C28" s="1820"/>
      <c r="D28" s="192" t="s">
        <v>143</v>
      </c>
      <c r="E28" s="892" t="s">
        <v>73</v>
      </c>
      <c r="F28" s="875">
        <v>9500</v>
      </c>
      <c r="G28" s="876">
        <v>15</v>
      </c>
      <c r="H28" s="1198"/>
      <c r="I28" s="1206">
        <v>250</v>
      </c>
      <c r="J28" s="985">
        <v>1900</v>
      </c>
      <c r="K28" s="1152">
        <v>1741.6666666666665</v>
      </c>
      <c r="L28" s="305">
        <v>2.75</v>
      </c>
      <c r="M28" s="1200"/>
      <c r="N28" s="1215">
        <v>1900</v>
      </c>
      <c r="O28" s="986">
        <v>2058.3333333333335</v>
      </c>
      <c r="P28" s="1200"/>
      <c r="Q28" s="291">
        <v>0</v>
      </c>
      <c r="R28" s="313">
        <v>0</v>
      </c>
      <c r="S28" s="293">
        <v>0</v>
      </c>
      <c r="T28" s="1201"/>
      <c r="U28" s="291">
        <v>0</v>
      </c>
      <c r="V28" s="313">
        <v>0</v>
      </c>
      <c r="W28" s="293">
        <v>0</v>
      </c>
      <c r="X28" s="1200"/>
      <c r="Y28" s="291">
        <v>0</v>
      </c>
      <c r="Z28" s="313">
        <v>0</v>
      </c>
      <c r="AA28" s="293">
        <v>0</v>
      </c>
      <c r="AB28" s="1200"/>
      <c r="AC28" s="294">
        <v>0</v>
      </c>
      <c r="AD28" s="252">
        <v>0</v>
      </c>
      <c r="AE28" s="293">
        <v>0</v>
      </c>
      <c r="AF28" s="1202"/>
      <c r="AG28" s="897">
        <v>0</v>
      </c>
      <c r="AH28" s="1212">
        <v>228.70370370370372</v>
      </c>
      <c r="AI28" s="1207">
        <v>0</v>
      </c>
      <c r="AJ28" s="313">
        <v>0</v>
      </c>
      <c r="AK28" s="252">
        <v>0</v>
      </c>
      <c r="AL28" s="252">
        <v>0</v>
      </c>
      <c r="AM28" s="694" t="s">
        <v>279</v>
      </c>
      <c r="AN28" s="1202"/>
      <c r="AO28" s="897">
        <v>0</v>
      </c>
      <c r="AP28" s="1212">
        <v>228.70370370370372</v>
      </c>
      <c r="AQ28" s="1207">
        <v>0</v>
      </c>
      <c r="AR28" s="293">
        <v>0</v>
      </c>
      <c r="AS28" s="252">
        <v>0</v>
      </c>
      <c r="AT28" s="252">
        <v>0</v>
      </c>
      <c r="AU28" s="694" t="s">
        <v>279</v>
      </c>
      <c r="AV28" s="1202"/>
      <c r="AW28" s="897">
        <v>54.655870445344121</v>
      </c>
      <c r="AX28" s="1212">
        <v>228.70370370370372</v>
      </c>
      <c r="AY28" s="1208">
        <v>125</v>
      </c>
      <c r="AZ28" s="293">
        <v>0.19736842105263158</v>
      </c>
      <c r="BA28" s="252">
        <v>125</v>
      </c>
      <c r="BB28" s="252">
        <v>0.19736842105263158</v>
      </c>
      <c r="BC28" s="694" t="s">
        <v>279</v>
      </c>
      <c r="BD28" s="1202"/>
      <c r="BE28" s="897">
        <v>18.218623481781375</v>
      </c>
      <c r="BF28" s="252">
        <v>686.1111111111112</v>
      </c>
      <c r="BG28" s="252">
        <v>125</v>
      </c>
      <c r="BH28" s="293">
        <v>0.19736842105263158</v>
      </c>
      <c r="BI28" s="252">
        <v>125</v>
      </c>
      <c r="BJ28" s="252">
        <v>0.19736842105263158</v>
      </c>
      <c r="BK28" s="694" t="s">
        <v>279</v>
      </c>
      <c r="BL28" s="1202"/>
      <c r="BM28" s="897">
        <v>0</v>
      </c>
      <c r="BN28" s="252"/>
      <c r="BO28" s="252">
        <v>125</v>
      </c>
      <c r="BP28" s="293">
        <v>0.19736842105263158</v>
      </c>
      <c r="BQ28" s="252">
        <v>125</v>
      </c>
      <c r="BR28" s="252">
        <v>0.19736842105263158</v>
      </c>
      <c r="BS28" s="694" t="s">
        <v>279</v>
      </c>
      <c r="BT28" s="1202"/>
      <c r="BU28" s="897">
        <v>2.6234817813765181</v>
      </c>
      <c r="BV28" s="1212">
        <v>228.70370370370372</v>
      </c>
      <c r="BW28" s="1209">
        <v>6</v>
      </c>
      <c r="BX28" s="293">
        <v>9.4736842105263147E-3</v>
      </c>
      <c r="BY28" s="252">
        <v>131</v>
      </c>
      <c r="BZ28" s="252">
        <v>0.20684210526315791</v>
      </c>
      <c r="CA28" s="694" t="s">
        <v>279</v>
      </c>
      <c r="CB28" s="1202"/>
      <c r="CC28" s="897">
        <v>19.676113360323885</v>
      </c>
      <c r="CD28" s="1212">
        <v>228.70370370370372</v>
      </c>
      <c r="CE28" s="1209">
        <v>45</v>
      </c>
      <c r="CF28" s="293">
        <v>7.1052631578947367E-2</v>
      </c>
      <c r="CG28" s="899">
        <v>176</v>
      </c>
      <c r="CH28" s="252">
        <v>0.27789473684210531</v>
      </c>
      <c r="CI28" s="694" t="s">
        <v>279</v>
      </c>
      <c r="CJ28" s="1202"/>
      <c r="CK28" s="897">
        <v>0</v>
      </c>
      <c r="CL28" s="1209">
        <v>228.70370370370372</v>
      </c>
      <c r="CM28" s="1209">
        <v>0</v>
      </c>
      <c r="CN28" s="293">
        <v>0</v>
      </c>
      <c r="CO28" s="252">
        <v>176</v>
      </c>
      <c r="CP28" s="252">
        <v>0.27789473684210531</v>
      </c>
      <c r="CQ28" s="694" t="s">
        <v>279</v>
      </c>
      <c r="CR28" s="1202"/>
      <c r="CS28" s="897">
        <v>7.4331983805668012</v>
      </c>
      <c r="CT28" s="1152">
        <v>686.1111111111112</v>
      </c>
      <c r="CU28" s="1152">
        <v>51</v>
      </c>
      <c r="CV28" s="293">
        <v>8.0526315789473682E-2</v>
      </c>
      <c r="CW28" s="252">
        <v>176</v>
      </c>
      <c r="CX28" s="252">
        <v>0.27789473684210531</v>
      </c>
      <c r="CY28" s="694" t="s">
        <v>279</v>
      </c>
      <c r="CZ28" s="1202"/>
      <c r="DA28" s="897">
        <v>25.651821862348172</v>
      </c>
      <c r="DB28" s="1152">
        <v>686.1111111111112</v>
      </c>
      <c r="DC28" s="1152">
        <v>176</v>
      </c>
      <c r="DD28" s="293">
        <v>0.27789473684210531</v>
      </c>
      <c r="DE28" s="252">
        <v>176</v>
      </c>
      <c r="DF28" s="252">
        <v>0.27789473684210531</v>
      </c>
      <c r="DG28" s="694" t="s">
        <v>279</v>
      </c>
      <c r="DH28" s="1202"/>
      <c r="DI28" s="897">
        <v>0</v>
      </c>
      <c r="DJ28" s="1209">
        <v>228.70370370370372</v>
      </c>
      <c r="DK28" s="1209">
        <v>0</v>
      </c>
      <c r="DL28" s="293">
        <v>0</v>
      </c>
      <c r="DM28" s="252">
        <v>176</v>
      </c>
      <c r="DN28" s="252">
        <v>0.27789473684210531</v>
      </c>
      <c r="DO28" s="694" t="s">
        <v>279</v>
      </c>
      <c r="DP28" s="1202"/>
      <c r="DQ28" s="897">
        <v>0</v>
      </c>
      <c r="DR28" s="1209">
        <v>228.70370370370372</v>
      </c>
      <c r="DS28" s="1209"/>
      <c r="DT28" s="293">
        <v>0</v>
      </c>
      <c r="DU28" s="252">
        <v>176</v>
      </c>
      <c r="DV28" s="252">
        <v>0.27789473684210531</v>
      </c>
      <c r="DW28" s="694" t="s">
        <v>279</v>
      </c>
      <c r="DX28" s="1202"/>
      <c r="DY28" s="897">
        <v>0</v>
      </c>
      <c r="DZ28" s="1209">
        <v>228.70370370370372</v>
      </c>
      <c r="EA28" s="1209"/>
      <c r="EB28" s="293">
        <v>0</v>
      </c>
      <c r="EC28" s="245">
        <v>176</v>
      </c>
      <c r="ED28" s="295">
        <v>0.27789473684210531</v>
      </c>
      <c r="EE28" s="246" t="s">
        <v>279</v>
      </c>
      <c r="EF28" s="323"/>
      <c r="EG28" s="897">
        <v>0</v>
      </c>
      <c r="EH28" s="1152">
        <v>686.1111111111112</v>
      </c>
      <c r="EI28" s="245">
        <v>0</v>
      </c>
      <c r="EJ28" s="413">
        <v>0</v>
      </c>
      <c r="EK28" s="245">
        <v>176</v>
      </c>
      <c r="EL28" s="295">
        <v>0.27789473684210531</v>
      </c>
      <c r="EM28" s="246" t="s">
        <v>279</v>
      </c>
      <c r="EN28" s="323"/>
      <c r="EO28" s="897">
        <v>3.7165991902834006</v>
      </c>
      <c r="EP28" s="1152">
        <v>1372.2222222222224</v>
      </c>
      <c r="EQ28" s="245">
        <v>51</v>
      </c>
      <c r="ER28" s="413">
        <v>8.0526315789473682E-2</v>
      </c>
      <c r="ES28" s="245">
        <v>176</v>
      </c>
      <c r="ET28" s="295">
        <v>0.27789473684210531</v>
      </c>
      <c r="EU28" s="246" t="s">
        <v>279</v>
      </c>
      <c r="EV28" s="323"/>
      <c r="EW28" s="897">
        <v>12.825910931174086</v>
      </c>
      <c r="EX28" s="1152">
        <v>1372.2222222222224</v>
      </c>
      <c r="EY28" s="245">
        <v>176</v>
      </c>
      <c r="EZ28" s="413">
        <v>0.27789473684210531</v>
      </c>
      <c r="FA28" s="245">
        <v>176</v>
      </c>
      <c r="FB28" s="295">
        <v>0.27789473684210531</v>
      </c>
      <c r="FC28" s="246" t="s">
        <v>279</v>
      </c>
    </row>
    <row r="29" spans="2:159" ht="20.100000000000001" customHeight="1">
      <c r="B29" s="1734"/>
      <c r="C29" s="1820"/>
      <c r="D29" s="192" t="s">
        <v>144</v>
      </c>
      <c r="E29" s="892" t="s">
        <v>73</v>
      </c>
      <c r="F29" s="875">
        <v>20000</v>
      </c>
      <c r="G29" s="876">
        <v>15</v>
      </c>
      <c r="H29" s="1198"/>
      <c r="I29" s="1206">
        <v>250</v>
      </c>
      <c r="J29" s="985">
        <v>4000</v>
      </c>
      <c r="K29" s="1152">
        <v>106.66666666666666</v>
      </c>
      <c r="L29" s="305">
        <v>0.08</v>
      </c>
      <c r="M29" s="1200"/>
      <c r="N29" s="1215">
        <v>4000</v>
      </c>
      <c r="O29" s="987">
        <v>7893.333333333333</v>
      </c>
      <c r="P29" s="1200"/>
      <c r="Q29" s="291">
        <v>0</v>
      </c>
      <c r="R29" s="313">
        <v>0</v>
      </c>
      <c r="S29" s="293">
        <v>0</v>
      </c>
      <c r="T29" s="1201"/>
      <c r="U29" s="291">
        <v>0</v>
      </c>
      <c r="V29" s="313">
        <v>0</v>
      </c>
      <c r="W29" s="293">
        <v>0</v>
      </c>
      <c r="X29" s="1200"/>
      <c r="Y29" s="291">
        <v>0</v>
      </c>
      <c r="Z29" s="313">
        <v>0</v>
      </c>
      <c r="AA29" s="293">
        <v>0</v>
      </c>
      <c r="AB29" s="1200"/>
      <c r="AC29" s="294">
        <v>0</v>
      </c>
      <c r="AD29" s="252">
        <v>0</v>
      </c>
      <c r="AE29" s="293">
        <v>0</v>
      </c>
      <c r="AF29" s="1202"/>
      <c r="AG29" s="897">
        <v>0</v>
      </c>
      <c r="AH29" s="1212">
        <v>877.03703703703695</v>
      </c>
      <c r="AI29" s="1207">
        <v>0</v>
      </c>
      <c r="AJ29" s="252">
        <v>0</v>
      </c>
      <c r="AK29" s="252">
        <v>0</v>
      </c>
      <c r="AL29" s="252">
        <v>0</v>
      </c>
      <c r="AM29" s="694" t="s">
        <v>279</v>
      </c>
      <c r="AN29" s="1202"/>
      <c r="AO29" s="897">
        <v>0</v>
      </c>
      <c r="AP29" s="1212">
        <v>877.03703703703695</v>
      </c>
      <c r="AQ29" s="1207">
        <v>0</v>
      </c>
      <c r="AR29" s="293">
        <v>0</v>
      </c>
      <c r="AS29" s="252">
        <v>0</v>
      </c>
      <c r="AT29" s="252">
        <v>0</v>
      </c>
      <c r="AU29" s="694" t="s">
        <v>279</v>
      </c>
      <c r="AV29" s="1202"/>
      <c r="AW29" s="897">
        <v>13.112331081081082</v>
      </c>
      <c r="AX29" s="1212">
        <v>877.03703703703695</v>
      </c>
      <c r="AY29" s="1208">
        <v>115</v>
      </c>
      <c r="AZ29" s="293">
        <v>8.6250000000000007E-2</v>
      </c>
      <c r="BA29" s="252">
        <v>115</v>
      </c>
      <c r="BB29" s="252">
        <v>8.6249999999999993E-2</v>
      </c>
      <c r="BC29" s="694" t="s">
        <v>279</v>
      </c>
      <c r="BD29" s="1202"/>
      <c r="BE29" s="897">
        <v>4.3707770270270272</v>
      </c>
      <c r="BF29" s="252">
        <v>2631.1111111111109</v>
      </c>
      <c r="BG29" s="252">
        <v>115</v>
      </c>
      <c r="BH29" s="252">
        <v>8.6249999999999993E-2</v>
      </c>
      <c r="BI29" s="252">
        <v>115</v>
      </c>
      <c r="BJ29" s="252">
        <v>8.6249999999999993E-2</v>
      </c>
      <c r="BK29" s="694" t="s">
        <v>279</v>
      </c>
      <c r="BL29" s="1202"/>
      <c r="BM29" s="897">
        <v>0</v>
      </c>
      <c r="BN29" s="252"/>
      <c r="BO29" s="252">
        <v>115</v>
      </c>
      <c r="BP29" s="293">
        <v>8.6249999999999993E-2</v>
      </c>
      <c r="BQ29" s="252">
        <v>115</v>
      </c>
      <c r="BR29" s="252">
        <v>8.6249999999999993E-2</v>
      </c>
      <c r="BS29" s="694" t="s">
        <v>279</v>
      </c>
      <c r="BT29" s="1202"/>
      <c r="BU29" s="897">
        <v>0.57010135135135143</v>
      </c>
      <c r="BV29" s="1212">
        <v>877.03703703703695</v>
      </c>
      <c r="BW29" s="1209">
        <v>5</v>
      </c>
      <c r="BX29" s="293">
        <v>3.7499999999999999E-3</v>
      </c>
      <c r="BY29" s="252">
        <v>120</v>
      </c>
      <c r="BZ29" s="252">
        <v>0.09</v>
      </c>
      <c r="CA29" s="694" t="s">
        <v>279</v>
      </c>
      <c r="CB29" s="1202"/>
      <c r="CC29" s="897">
        <v>7.9814189189189202</v>
      </c>
      <c r="CD29" s="1212">
        <v>877.03703703703695</v>
      </c>
      <c r="CE29" s="1209">
        <v>70</v>
      </c>
      <c r="CF29" s="293">
        <v>5.2499999999999998E-2</v>
      </c>
      <c r="CG29" s="899">
        <v>190</v>
      </c>
      <c r="CH29" s="252">
        <v>0.14249999999999999</v>
      </c>
      <c r="CI29" s="694" t="s">
        <v>279</v>
      </c>
      <c r="CJ29" s="1202"/>
      <c r="CK29" s="897">
        <v>0</v>
      </c>
      <c r="CL29" s="1209">
        <v>877.03703703703695</v>
      </c>
      <c r="CM29" s="1209">
        <v>0</v>
      </c>
      <c r="CN29" s="293">
        <v>0</v>
      </c>
      <c r="CO29" s="252">
        <v>190</v>
      </c>
      <c r="CP29" s="252">
        <v>0.14249999999999999</v>
      </c>
      <c r="CQ29" s="694" t="s">
        <v>279</v>
      </c>
      <c r="CR29" s="1202"/>
      <c r="CS29" s="897">
        <v>2.850506756756757</v>
      </c>
      <c r="CT29" s="1152">
        <v>2631.1111111111109</v>
      </c>
      <c r="CU29" s="1152">
        <v>75</v>
      </c>
      <c r="CV29" s="293">
        <v>5.6250000000000001E-2</v>
      </c>
      <c r="CW29" s="252">
        <v>190</v>
      </c>
      <c r="CX29" s="252">
        <v>0.14249999999999999</v>
      </c>
      <c r="CY29" s="694" t="s">
        <v>279</v>
      </c>
      <c r="CZ29" s="1202"/>
      <c r="DA29" s="897">
        <v>7.2212837837837842</v>
      </c>
      <c r="DB29" s="1152">
        <v>2631.1111111111109</v>
      </c>
      <c r="DC29" s="1152">
        <v>190</v>
      </c>
      <c r="DD29" s="293">
        <v>0.14249999999999999</v>
      </c>
      <c r="DE29" s="252">
        <v>190</v>
      </c>
      <c r="DF29" s="252">
        <v>0.14249999999999999</v>
      </c>
      <c r="DG29" s="694" t="s">
        <v>279</v>
      </c>
      <c r="DH29" s="1202"/>
      <c r="DI29" s="897">
        <v>0</v>
      </c>
      <c r="DJ29" s="1209">
        <v>877.03703703703695</v>
      </c>
      <c r="DK29" s="1209">
        <v>0</v>
      </c>
      <c r="DL29" s="293">
        <v>0</v>
      </c>
      <c r="DM29" s="252">
        <v>190</v>
      </c>
      <c r="DN29" s="252">
        <v>0.14249999999999999</v>
      </c>
      <c r="DO29" s="694" t="s">
        <v>279</v>
      </c>
      <c r="DP29" s="1202"/>
      <c r="DQ29" s="897">
        <v>0</v>
      </c>
      <c r="DR29" s="1209">
        <v>877.03703703703695</v>
      </c>
      <c r="DS29" s="1209"/>
      <c r="DT29" s="293">
        <v>0</v>
      </c>
      <c r="DU29" s="252">
        <v>190</v>
      </c>
      <c r="DV29" s="252">
        <v>0.14249999999999999</v>
      </c>
      <c r="DW29" s="694" t="s">
        <v>279</v>
      </c>
      <c r="DX29" s="1202"/>
      <c r="DY29" s="897">
        <v>0</v>
      </c>
      <c r="DZ29" s="1209">
        <v>877.03703703703695</v>
      </c>
      <c r="EA29" s="1209"/>
      <c r="EB29" s="293">
        <v>0</v>
      </c>
      <c r="EC29" s="245">
        <v>190</v>
      </c>
      <c r="ED29" s="295">
        <v>0.14249999999999999</v>
      </c>
      <c r="EE29" s="246" t="s">
        <v>279</v>
      </c>
      <c r="EF29" s="323"/>
      <c r="EG29" s="897">
        <v>0</v>
      </c>
      <c r="EH29" s="1152">
        <v>2631.1111111111109</v>
      </c>
      <c r="EI29" s="245">
        <v>0</v>
      </c>
      <c r="EJ29" s="413">
        <v>0</v>
      </c>
      <c r="EK29" s="245">
        <v>190</v>
      </c>
      <c r="EL29" s="295">
        <v>0.14249999999999999</v>
      </c>
      <c r="EM29" s="246" t="s">
        <v>279</v>
      </c>
      <c r="EN29" s="323"/>
      <c r="EO29" s="897">
        <v>1.4252533783783785</v>
      </c>
      <c r="EP29" s="1152">
        <v>5262.2222222222217</v>
      </c>
      <c r="EQ29" s="245">
        <v>75</v>
      </c>
      <c r="ER29" s="413">
        <v>5.6249999999999994E-2</v>
      </c>
      <c r="ES29" s="245">
        <v>190</v>
      </c>
      <c r="ET29" s="295">
        <v>0.14249999999999999</v>
      </c>
      <c r="EU29" s="246" t="s">
        <v>279</v>
      </c>
      <c r="EV29" s="323"/>
      <c r="EW29" s="897">
        <v>3.6106418918918921</v>
      </c>
      <c r="EX29" s="1152">
        <v>5262.2222222222217</v>
      </c>
      <c r="EY29" s="245">
        <v>190</v>
      </c>
      <c r="EZ29" s="413">
        <v>0.14249999999999999</v>
      </c>
      <c r="FA29" s="245">
        <v>190</v>
      </c>
      <c r="FB29" s="295">
        <v>0.14249999999999999</v>
      </c>
      <c r="FC29" s="246" t="s">
        <v>279</v>
      </c>
    </row>
    <row r="30" spans="2:159" ht="20.100000000000001" customHeight="1" thickBot="1">
      <c r="B30" s="1749"/>
      <c r="C30" s="1826"/>
      <c r="D30" s="195" t="s">
        <v>75</v>
      </c>
      <c r="E30" s="893"/>
      <c r="F30" s="880" t="s">
        <v>4</v>
      </c>
      <c r="G30" s="877">
        <v>100</v>
      </c>
      <c r="H30" s="1198"/>
      <c r="I30" s="1216"/>
      <c r="J30" s="298"/>
      <c r="K30" s="307"/>
      <c r="L30" s="299">
        <v>16.979999999999997</v>
      </c>
      <c r="M30" s="1200"/>
      <c r="N30" s="298"/>
      <c r="O30" s="308"/>
      <c r="P30" s="1200"/>
      <c r="Q30" s="298" t="s">
        <v>4</v>
      </c>
      <c r="R30" s="300" t="s">
        <v>4</v>
      </c>
      <c r="S30" s="299">
        <v>0.85499999999999998</v>
      </c>
      <c r="T30" s="1201"/>
      <c r="U30" s="298" t="s">
        <v>4</v>
      </c>
      <c r="V30" s="300" t="s">
        <v>4</v>
      </c>
      <c r="W30" s="299">
        <v>1.71</v>
      </c>
      <c r="X30" s="1200"/>
      <c r="Y30" s="298" t="s">
        <v>4</v>
      </c>
      <c r="Z30" s="309" t="s">
        <v>4</v>
      </c>
      <c r="AA30" s="299">
        <v>1.7949999999999999</v>
      </c>
      <c r="AB30" s="1200"/>
      <c r="AC30" s="301" t="s">
        <v>4</v>
      </c>
      <c r="AD30" s="310" t="s">
        <v>4</v>
      </c>
      <c r="AE30" s="259">
        <v>1.4533333333333336</v>
      </c>
      <c r="AF30" s="1202"/>
      <c r="AG30" s="904"/>
      <c r="AH30" s="905"/>
      <c r="AI30" s="905"/>
      <c r="AJ30" s="265">
        <v>6</v>
      </c>
      <c r="AK30" s="906"/>
      <c r="AL30" s="265">
        <v>7.453333333333334</v>
      </c>
      <c r="AM30" s="259"/>
      <c r="AN30" s="1202"/>
      <c r="AO30" s="904"/>
      <c r="AP30" s="905"/>
      <c r="AQ30" s="905"/>
      <c r="AR30" s="265">
        <v>6.25</v>
      </c>
      <c r="AS30" s="906"/>
      <c r="AT30" s="265">
        <v>13.703333333333331</v>
      </c>
      <c r="AU30" s="259"/>
      <c r="AV30" s="1202"/>
      <c r="AW30" s="904"/>
      <c r="AX30" s="905"/>
      <c r="AY30" s="905"/>
      <c r="AZ30" s="265">
        <v>1.4923684210526316</v>
      </c>
      <c r="BA30" s="906"/>
      <c r="BB30" s="265">
        <v>15.195701754385963</v>
      </c>
      <c r="BC30" s="259"/>
      <c r="BD30" s="1202"/>
      <c r="BE30" s="904"/>
      <c r="BF30" s="906"/>
      <c r="BG30" s="906"/>
      <c r="BH30" s="265">
        <v>13.742368421052632</v>
      </c>
      <c r="BI30" s="906"/>
      <c r="BJ30" s="265">
        <v>15.195701754385963</v>
      </c>
      <c r="BK30" s="259"/>
      <c r="BL30" s="1202"/>
      <c r="BM30" s="904"/>
      <c r="BN30" s="906"/>
      <c r="BO30" s="906"/>
      <c r="BP30" s="265">
        <v>15.195701754385963</v>
      </c>
      <c r="BQ30" s="906"/>
      <c r="BR30" s="265">
        <v>15.195701754385963</v>
      </c>
      <c r="BS30" s="259"/>
      <c r="BT30" s="1202"/>
      <c r="BU30" s="904"/>
      <c r="BV30" s="906"/>
      <c r="BW30" s="906"/>
      <c r="BX30" s="265">
        <v>0.18022368421052634</v>
      </c>
      <c r="BY30" s="906"/>
      <c r="BZ30" s="265">
        <v>15.375925438596489</v>
      </c>
      <c r="CA30" s="259"/>
      <c r="CB30" s="1202"/>
      <c r="CC30" s="904"/>
      <c r="CD30" s="906"/>
      <c r="CE30" s="906"/>
      <c r="CF30" s="259">
        <v>1.4785526315789472</v>
      </c>
      <c r="CG30" s="907"/>
      <c r="CH30" s="265">
        <v>16.854478070175432</v>
      </c>
      <c r="CI30" s="259"/>
      <c r="CJ30" s="1202"/>
      <c r="CK30" s="904"/>
      <c r="CL30" s="906"/>
      <c r="CM30" s="906"/>
      <c r="CN30" s="265">
        <v>18.389999999999997</v>
      </c>
      <c r="CO30" s="906"/>
      <c r="CP30" s="265">
        <v>35.24447807017544</v>
      </c>
      <c r="CQ30" s="259"/>
      <c r="CR30" s="1202"/>
      <c r="CS30" s="904"/>
      <c r="CT30" s="906"/>
      <c r="CU30" s="906"/>
      <c r="CV30" s="265">
        <v>20.048776315789471</v>
      </c>
      <c r="CW30" s="906"/>
      <c r="CX30" s="265">
        <v>35.24447807017544</v>
      </c>
      <c r="CY30" s="259"/>
      <c r="CZ30" s="1202"/>
      <c r="DA30" s="904"/>
      <c r="DB30" s="906"/>
      <c r="DC30" s="906"/>
      <c r="DD30" s="265">
        <v>35.24447807017544</v>
      </c>
      <c r="DE30" s="906"/>
      <c r="DF30" s="265">
        <v>35.24447807017544</v>
      </c>
      <c r="DG30" s="259"/>
      <c r="DH30" s="1202"/>
      <c r="DI30" s="904"/>
      <c r="DJ30" s="906"/>
      <c r="DK30" s="906"/>
      <c r="DL30" s="265">
        <v>19.309499999999996</v>
      </c>
      <c r="DM30" s="906"/>
      <c r="DN30" s="265">
        <v>54.553978070175447</v>
      </c>
      <c r="DO30" s="259"/>
      <c r="DP30" s="1202"/>
      <c r="DQ30" s="904"/>
      <c r="DR30" s="906"/>
      <c r="DS30" s="906"/>
      <c r="DT30" s="265">
        <v>0</v>
      </c>
      <c r="DU30" s="906"/>
      <c r="DV30" s="265">
        <v>54.553978070175447</v>
      </c>
      <c r="DW30" s="259"/>
      <c r="DX30" s="1202"/>
      <c r="DY30" s="904"/>
      <c r="DZ30" s="906"/>
      <c r="EA30" s="906"/>
      <c r="EB30" s="265">
        <v>0</v>
      </c>
      <c r="EC30" s="302"/>
      <c r="ED30" s="260">
        <v>54.553978070175447</v>
      </c>
      <c r="EE30" s="259"/>
      <c r="EF30" s="323"/>
      <c r="EG30" s="904"/>
      <c r="EH30" s="302"/>
      <c r="EI30" s="302"/>
      <c r="EJ30" s="265">
        <v>19.309499999999996</v>
      </c>
      <c r="EK30" s="302"/>
      <c r="EL30" s="260">
        <v>54.553978070175447</v>
      </c>
      <c r="EM30" s="259"/>
      <c r="EN30" s="323"/>
      <c r="EO30" s="904"/>
      <c r="EP30" s="302"/>
      <c r="EQ30" s="302"/>
      <c r="ER30" s="265">
        <v>39.358276315789475</v>
      </c>
      <c r="ES30" s="302"/>
      <c r="ET30" s="260">
        <v>54.553978070175447</v>
      </c>
      <c r="EU30" s="259"/>
      <c r="EV30" s="323"/>
      <c r="EW30" s="904"/>
      <c r="EX30" s="302"/>
      <c r="EY30" s="302"/>
      <c r="EZ30" s="265">
        <v>54.553978070175447</v>
      </c>
      <c r="FA30" s="302"/>
      <c r="FB30" s="260">
        <v>54.553978070175447</v>
      </c>
      <c r="FC30" s="259"/>
    </row>
    <row r="31" spans="2:159" ht="19.899999999999999" customHeight="1">
      <c r="B31" s="1732" t="s">
        <v>28</v>
      </c>
      <c r="C31" s="1827" t="s">
        <v>59</v>
      </c>
      <c r="D31" s="196" t="s">
        <v>53</v>
      </c>
      <c r="E31" s="885" t="s">
        <v>186</v>
      </c>
      <c r="F31" s="872">
        <v>1</v>
      </c>
      <c r="G31" s="872">
        <v>2.5</v>
      </c>
      <c r="H31" s="1198"/>
      <c r="I31" s="1199">
        <v>5</v>
      </c>
      <c r="J31" s="287">
        <v>1</v>
      </c>
      <c r="K31" s="450">
        <v>0.2</v>
      </c>
      <c r="L31" s="303">
        <v>0.5</v>
      </c>
      <c r="M31" s="1200"/>
      <c r="N31" s="681">
        <v>0</v>
      </c>
      <c r="O31" s="454">
        <v>0.8</v>
      </c>
      <c r="P31" s="1200"/>
      <c r="Q31" s="287">
        <v>0</v>
      </c>
      <c r="R31" s="450">
        <v>0</v>
      </c>
      <c r="S31" s="288">
        <v>0</v>
      </c>
      <c r="T31" s="1201"/>
      <c r="U31" s="681">
        <v>5</v>
      </c>
      <c r="V31" s="313">
        <v>0.04</v>
      </c>
      <c r="W31" s="293">
        <v>0.1</v>
      </c>
      <c r="X31" s="1200"/>
      <c r="Y31" s="287">
        <v>5</v>
      </c>
      <c r="Z31" s="450">
        <v>0.04</v>
      </c>
      <c r="AA31" s="293">
        <v>0.1</v>
      </c>
      <c r="AB31" s="1200"/>
      <c r="AC31" s="294">
        <v>3.3333333333333335</v>
      </c>
      <c r="AD31" s="252">
        <v>2.6666666666666668E-2</v>
      </c>
      <c r="AE31" s="293">
        <v>6.6666666666666666E-2</v>
      </c>
      <c r="AF31" s="1202"/>
      <c r="AG31" s="897">
        <v>37.499999999999993</v>
      </c>
      <c r="AH31" s="1207">
        <v>0.8</v>
      </c>
      <c r="AI31" s="1207">
        <v>0.3</v>
      </c>
      <c r="AJ31" s="313">
        <v>0.75</v>
      </c>
      <c r="AK31" s="252">
        <v>0.32666666666666666</v>
      </c>
      <c r="AL31" s="252">
        <v>0.81666666666666665</v>
      </c>
      <c r="AM31" s="694" t="s">
        <v>279</v>
      </c>
      <c r="AN31" s="1202"/>
      <c r="AO31" s="897">
        <v>25</v>
      </c>
      <c r="AP31" s="1207">
        <v>0.8</v>
      </c>
      <c r="AQ31" s="1207">
        <v>0.2</v>
      </c>
      <c r="AR31" s="293">
        <v>0.5</v>
      </c>
      <c r="AS31" s="252">
        <v>0.52666666666666662</v>
      </c>
      <c r="AT31" s="252">
        <v>1.3166666666666664</v>
      </c>
      <c r="AU31" s="694" t="s">
        <v>279</v>
      </c>
      <c r="AV31" s="1202"/>
      <c r="AW31" s="897">
        <v>37.499999999999993</v>
      </c>
      <c r="AX31" s="1208">
        <v>0.8</v>
      </c>
      <c r="AY31" s="1208">
        <v>0.3</v>
      </c>
      <c r="AZ31" s="293">
        <v>0.75</v>
      </c>
      <c r="BA31" s="252">
        <v>0.82666666666666666</v>
      </c>
      <c r="BB31" s="252">
        <v>2.0666666666666664</v>
      </c>
      <c r="BC31" s="694" t="s">
        <v>279</v>
      </c>
      <c r="BD31" s="1202"/>
      <c r="BE31" s="897">
        <v>33.333333333333329</v>
      </c>
      <c r="BF31" s="252">
        <v>2.4000000000000004</v>
      </c>
      <c r="BG31" s="252">
        <v>0.8</v>
      </c>
      <c r="BH31" s="903">
        <v>2</v>
      </c>
      <c r="BI31" s="252">
        <v>0.82666666666666666</v>
      </c>
      <c r="BJ31" s="252">
        <v>2.0666666666666664</v>
      </c>
      <c r="BK31" s="694" t="s">
        <v>279</v>
      </c>
      <c r="BL31" s="1202"/>
      <c r="BM31" s="897">
        <v>0</v>
      </c>
      <c r="BN31" s="252"/>
      <c r="BO31" s="252">
        <v>0.82666666666666666</v>
      </c>
      <c r="BP31" s="903">
        <v>2.0666666666666664</v>
      </c>
      <c r="BQ31" s="252">
        <v>0.82666666666666666</v>
      </c>
      <c r="BR31" s="252">
        <v>2.0666666666666664</v>
      </c>
      <c r="BS31" s="694" t="s">
        <v>279</v>
      </c>
      <c r="BT31" s="1202"/>
      <c r="BU31" s="897">
        <v>0</v>
      </c>
      <c r="BV31" s="1209">
        <v>0</v>
      </c>
      <c r="BW31" s="1209">
        <v>0</v>
      </c>
      <c r="BX31" s="293">
        <v>0</v>
      </c>
      <c r="BY31" s="252">
        <v>0.82666666666666666</v>
      </c>
      <c r="BZ31" s="252">
        <v>2.0666666666666664</v>
      </c>
      <c r="CA31" s="694" t="s">
        <v>279</v>
      </c>
      <c r="CB31" s="1202"/>
      <c r="CC31" s="897">
        <v>0</v>
      </c>
      <c r="CD31" s="1209">
        <v>0</v>
      </c>
      <c r="CE31" s="1209">
        <v>0</v>
      </c>
      <c r="CF31" s="293">
        <v>0</v>
      </c>
      <c r="CG31" s="899">
        <v>0.82666666666666666</v>
      </c>
      <c r="CH31" s="252">
        <v>2.0666666666666664</v>
      </c>
      <c r="CI31" s="694" t="s">
        <v>279</v>
      </c>
      <c r="CJ31" s="1202"/>
      <c r="CK31" s="897">
        <v>101.25</v>
      </c>
      <c r="CL31" s="1209">
        <v>8.8888888888888892E-2</v>
      </c>
      <c r="CM31" s="1209">
        <v>0.09</v>
      </c>
      <c r="CN31" s="293">
        <v>0.22499999999999998</v>
      </c>
      <c r="CO31" s="252">
        <v>0.91666666666666663</v>
      </c>
      <c r="CP31" s="252">
        <v>2.2916666666666665</v>
      </c>
      <c r="CQ31" s="694" t="s">
        <v>279</v>
      </c>
      <c r="CR31" s="1202"/>
      <c r="CS31" s="897">
        <v>101.25</v>
      </c>
      <c r="CT31" s="252">
        <v>8.8888888888888892E-2</v>
      </c>
      <c r="CU31" s="252">
        <v>0.09</v>
      </c>
      <c r="CV31" s="293">
        <v>0.22499999999999998</v>
      </c>
      <c r="CW31" s="252">
        <v>0.91666666666666663</v>
      </c>
      <c r="CX31" s="252">
        <v>2.2916666666666665</v>
      </c>
      <c r="CY31" s="694" t="s">
        <v>279</v>
      </c>
      <c r="CZ31" s="1202"/>
      <c r="DA31" s="897">
        <v>1031.25</v>
      </c>
      <c r="DB31" s="252">
        <v>8.8888888888888892E-2</v>
      </c>
      <c r="DC31" s="252">
        <v>0.91666666666666663</v>
      </c>
      <c r="DD31" s="293">
        <v>2.2916666666666665</v>
      </c>
      <c r="DE31" s="252">
        <v>0.91666666666666663</v>
      </c>
      <c r="DF31" s="252">
        <v>2.2916666666666665</v>
      </c>
      <c r="DG31" s="694" t="s">
        <v>279</v>
      </c>
      <c r="DH31" s="1202"/>
      <c r="DI31" s="897">
        <v>106.31249999999999</v>
      </c>
      <c r="DJ31" s="1209">
        <v>8.8888888888888892E-2</v>
      </c>
      <c r="DK31" s="1209">
        <v>9.4500000000000001E-2</v>
      </c>
      <c r="DL31" s="293">
        <v>0.23625000000000002</v>
      </c>
      <c r="DM31" s="252">
        <v>1.0111666666666665</v>
      </c>
      <c r="DN31" s="252">
        <v>2.5279166666666661</v>
      </c>
      <c r="DO31" s="694" t="s">
        <v>279</v>
      </c>
      <c r="DP31" s="1202"/>
      <c r="DQ31" s="897">
        <v>0</v>
      </c>
      <c r="DR31" s="1209">
        <v>8.8888888888888892E-2</v>
      </c>
      <c r="DS31" s="1209"/>
      <c r="DT31" s="293">
        <v>0</v>
      </c>
      <c r="DU31" s="252">
        <v>1.0111666666666665</v>
      </c>
      <c r="DV31" s="252">
        <v>2.5279166666666661</v>
      </c>
      <c r="DW31" s="694" t="s">
        <v>279</v>
      </c>
      <c r="DX31" s="1202"/>
      <c r="DY31" s="897">
        <v>0</v>
      </c>
      <c r="DZ31" s="1209">
        <v>8.8888888888888892E-2</v>
      </c>
      <c r="EA31" s="1209"/>
      <c r="EB31" s="293">
        <v>0</v>
      </c>
      <c r="EC31" s="245">
        <v>1.0111666666666665</v>
      </c>
      <c r="ED31" s="295">
        <v>2.5279166666666661</v>
      </c>
      <c r="EE31" s="246" t="s">
        <v>279</v>
      </c>
      <c r="EF31" s="323"/>
      <c r="EG31" s="897">
        <v>35.4375</v>
      </c>
      <c r="EH31" s="245">
        <v>0.26666666666666666</v>
      </c>
      <c r="EI31" s="245">
        <v>9.4500000000000001E-2</v>
      </c>
      <c r="EJ31" s="413">
        <v>0.23625000000000002</v>
      </c>
      <c r="EK31" s="245">
        <v>1.0111666666666665</v>
      </c>
      <c r="EL31" s="295">
        <v>2.5279166666666661</v>
      </c>
      <c r="EM31" s="246" t="s">
        <v>279</v>
      </c>
      <c r="EN31" s="323"/>
      <c r="EO31" s="897">
        <v>51.890625</v>
      </c>
      <c r="EP31" s="245">
        <v>0.35555555555555557</v>
      </c>
      <c r="EQ31" s="245">
        <v>0.1845</v>
      </c>
      <c r="ER31" s="413">
        <v>0.46124999999999999</v>
      </c>
      <c r="ES31" s="245">
        <v>1.0111666666666665</v>
      </c>
      <c r="ET31" s="295">
        <v>2.5279166666666661</v>
      </c>
      <c r="EU31" s="246" t="s">
        <v>279</v>
      </c>
      <c r="EV31" s="323"/>
      <c r="EW31" s="897">
        <v>284.39062499999994</v>
      </c>
      <c r="EX31" s="245">
        <v>0.35555555555555557</v>
      </c>
      <c r="EY31" s="245">
        <v>1.0111666666666665</v>
      </c>
      <c r="EZ31" s="413">
        <v>2.5279166666666661</v>
      </c>
      <c r="FA31" s="245">
        <v>1.0111666666666665</v>
      </c>
      <c r="FB31" s="295">
        <v>2.5279166666666661</v>
      </c>
      <c r="FC31" s="246" t="s">
        <v>279</v>
      </c>
    </row>
    <row r="32" spans="2:159" ht="20.100000000000001" customHeight="1">
      <c r="B32" s="1733"/>
      <c r="C32" s="1819"/>
      <c r="D32" s="196" t="s">
        <v>45</v>
      </c>
      <c r="E32" s="886" t="s">
        <v>187</v>
      </c>
      <c r="F32" s="874">
        <v>27</v>
      </c>
      <c r="G32" s="874">
        <v>5</v>
      </c>
      <c r="H32" s="1198"/>
      <c r="I32" s="1206">
        <v>1.19</v>
      </c>
      <c r="J32" s="291">
        <v>10</v>
      </c>
      <c r="K32" s="313">
        <v>14.040000000000001</v>
      </c>
      <c r="L32" s="305">
        <v>2.6</v>
      </c>
      <c r="M32" s="1200"/>
      <c r="N32" s="291">
        <v>9</v>
      </c>
      <c r="O32" s="293">
        <v>4.9599999999999991</v>
      </c>
      <c r="P32" s="1200"/>
      <c r="Q32" s="291">
        <v>100</v>
      </c>
      <c r="R32" s="313">
        <v>4.9599999999999991</v>
      </c>
      <c r="S32" s="293">
        <v>0.9185185185185184</v>
      </c>
      <c r="T32" s="1201"/>
      <c r="U32" s="291">
        <v>100</v>
      </c>
      <c r="V32" s="313">
        <v>4.9599999999999991</v>
      </c>
      <c r="W32" s="293">
        <v>0.9185185185185184</v>
      </c>
      <c r="X32" s="1200"/>
      <c r="Y32" s="291">
        <v>100</v>
      </c>
      <c r="Z32" s="313">
        <v>4.9599999999999991</v>
      </c>
      <c r="AA32" s="293">
        <v>0.9185185185185184</v>
      </c>
      <c r="AB32" s="1200"/>
      <c r="AC32" s="294">
        <v>100</v>
      </c>
      <c r="AD32" s="252">
        <v>4.9599999999999991</v>
      </c>
      <c r="AE32" s="293">
        <v>0.9185185185185184</v>
      </c>
      <c r="AF32" s="1202"/>
      <c r="AG32" s="897">
        <v>10.080645161290324</v>
      </c>
      <c r="AH32" s="1207">
        <v>4.96</v>
      </c>
      <c r="AI32" s="1207">
        <v>0.5</v>
      </c>
      <c r="AJ32" s="313">
        <v>9.2592592592592587E-2</v>
      </c>
      <c r="AK32" s="252">
        <v>5.4599999999999991</v>
      </c>
      <c r="AL32" s="252">
        <v>1.0111111111111111</v>
      </c>
      <c r="AM32" s="694" t="s">
        <v>279</v>
      </c>
      <c r="AN32" s="1202"/>
      <c r="AO32" s="897">
        <v>4.0322580645161299</v>
      </c>
      <c r="AP32" s="1207">
        <v>4.96</v>
      </c>
      <c r="AQ32" s="1207">
        <v>0.2</v>
      </c>
      <c r="AR32" s="293">
        <v>3.7037037037037035E-2</v>
      </c>
      <c r="AS32" s="252">
        <v>5.6599999999999993</v>
      </c>
      <c r="AT32" s="252">
        <v>1.0481481481481481</v>
      </c>
      <c r="AU32" s="694" t="s">
        <v>279</v>
      </c>
      <c r="AV32" s="1202"/>
      <c r="AW32" s="897">
        <v>50.403225806451616</v>
      </c>
      <c r="AX32" s="1208">
        <v>4.96</v>
      </c>
      <c r="AY32" s="1208">
        <v>2.5</v>
      </c>
      <c r="AZ32" s="293">
        <v>0.46296296296296291</v>
      </c>
      <c r="BA32" s="252">
        <v>8.16</v>
      </c>
      <c r="BB32" s="252">
        <v>1.5111111111111111</v>
      </c>
      <c r="BC32" s="694" t="s">
        <v>279</v>
      </c>
      <c r="BD32" s="1202"/>
      <c r="BE32" s="897">
        <v>21.505376344086024</v>
      </c>
      <c r="BF32" s="252">
        <v>14.879999999999999</v>
      </c>
      <c r="BG32" s="252">
        <v>3.2</v>
      </c>
      <c r="BH32" s="293">
        <v>0.59259259259259256</v>
      </c>
      <c r="BI32" s="252">
        <v>8.16</v>
      </c>
      <c r="BJ32" s="252">
        <v>1.5111111111111111</v>
      </c>
      <c r="BK32" s="694" t="s">
        <v>279</v>
      </c>
      <c r="BL32" s="1202"/>
      <c r="BM32" s="897">
        <v>0</v>
      </c>
      <c r="BN32" s="252"/>
      <c r="BO32" s="252">
        <v>8.16</v>
      </c>
      <c r="BP32" s="293">
        <v>1.5111111111111111</v>
      </c>
      <c r="BQ32" s="252">
        <v>8.16</v>
      </c>
      <c r="BR32" s="252">
        <v>1.5111111111111111</v>
      </c>
      <c r="BS32" s="694" t="s">
        <v>279</v>
      </c>
      <c r="BT32" s="1202"/>
      <c r="BU32" s="897">
        <v>1.0080645161290325</v>
      </c>
      <c r="BV32" s="1209">
        <v>4.96</v>
      </c>
      <c r="BW32" s="1209">
        <v>0.05</v>
      </c>
      <c r="BX32" s="293">
        <v>9.2592592592592587E-3</v>
      </c>
      <c r="BY32" s="252">
        <v>8.2100000000000009</v>
      </c>
      <c r="BZ32" s="252">
        <v>1.5203703703703706</v>
      </c>
      <c r="CA32" s="694" t="s">
        <v>279</v>
      </c>
      <c r="CB32" s="1202"/>
      <c r="CC32" s="897">
        <v>99.798387096774221</v>
      </c>
      <c r="CD32" s="1207">
        <v>0.551111111111111</v>
      </c>
      <c r="CE32" s="1209">
        <v>0.55000000000000004</v>
      </c>
      <c r="CF32" s="293">
        <v>0.10185185185185186</v>
      </c>
      <c r="CG32" s="899">
        <v>8.7600000000000016</v>
      </c>
      <c r="CH32" s="252">
        <v>1.6222222222222225</v>
      </c>
      <c r="CI32" s="694" t="s">
        <v>279</v>
      </c>
      <c r="CJ32" s="1202"/>
      <c r="CK32" s="897">
        <v>54.435483870967751</v>
      </c>
      <c r="CL32" s="1209">
        <v>0.551111111111111</v>
      </c>
      <c r="CM32" s="1209">
        <v>0.3</v>
      </c>
      <c r="CN32" s="293">
        <v>5.5555555555555552E-2</v>
      </c>
      <c r="CO32" s="252">
        <v>9.0600000000000023</v>
      </c>
      <c r="CP32" s="252">
        <v>1.6777777777777783</v>
      </c>
      <c r="CQ32" s="694" t="s">
        <v>279</v>
      </c>
      <c r="CR32" s="1202"/>
      <c r="CS32" s="897">
        <v>14.846041055718478</v>
      </c>
      <c r="CT32" s="252">
        <v>6.0622222222222222</v>
      </c>
      <c r="CU32" s="252">
        <v>0.90000000000000013</v>
      </c>
      <c r="CV32" s="293">
        <v>0.16666666666666669</v>
      </c>
      <c r="CW32" s="252">
        <v>9.0600000000000023</v>
      </c>
      <c r="CX32" s="252">
        <v>1.6777777777777783</v>
      </c>
      <c r="CY32" s="694" t="s">
        <v>279</v>
      </c>
      <c r="CZ32" s="1202"/>
      <c r="DA32" s="897">
        <v>149.450146627566</v>
      </c>
      <c r="DB32" s="252">
        <v>6.0622222222222222</v>
      </c>
      <c r="DC32" s="252">
        <v>9.06</v>
      </c>
      <c r="DD32" s="293">
        <v>1.6777777777777778</v>
      </c>
      <c r="DE32" s="252">
        <v>9.0600000000000023</v>
      </c>
      <c r="DF32" s="252">
        <v>1.6777777777777783</v>
      </c>
      <c r="DG32" s="694" t="s">
        <v>279</v>
      </c>
      <c r="DH32" s="1202"/>
      <c r="DI32" s="897">
        <v>57.157258064516135</v>
      </c>
      <c r="DJ32" s="1209">
        <v>0.551111111111111</v>
      </c>
      <c r="DK32" s="1209">
        <v>0.315</v>
      </c>
      <c r="DL32" s="293">
        <v>5.8333333333333327E-2</v>
      </c>
      <c r="DM32" s="252">
        <v>9.3750000000000018</v>
      </c>
      <c r="DN32" s="252">
        <v>1.7361111111111114</v>
      </c>
      <c r="DO32" s="694" t="s">
        <v>279</v>
      </c>
      <c r="DP32" s="1202"/>
      <c r="DQ32" s="897">
        <v>0</v>
      </c>
      <c r="DR32" s="1209">
        <v>0.551111111111111</v>
      </c>
      <c r="DS32" s="1209"/>
      <c r="DT32" s="293">
        <v>0</v>
      </c>
      <c r="DU32" s="252">
        <v>9.3750000000000018</v>
      </c>
      <c r="DV32" s="252">
        <v>1.7361111111111114</v>
      </c>
      <c r="DW32" s="694" t="s">
        <v>279</v>
      </c>
      <c r="DX32" s="1202"/>
      <c r="DY32" s="897">
        <v>0</v>
      </c>
      <c r="DZ32" s="1209">
        <v>0.551111111111111</v>
      </c>
      <c r="EA32" s="1209"/>
      <c r="EB32" s="293">
        <v>0</v>
      </c>
      <c r="EC32" s="245">
        <v>9.3750000000000018</v>
      </c>
      <c r="ED32" s="295">
        <v>1.7361111111111114</v>
      </c>
      <c r="EE32" s="246" t="s">
        <v>279</v>
      </c>
      <c r="EF32" s="323"/>
      <c r="EG32" s="897">
        <v>19.052419354838715</v>
      </c>
      <c r="EH32" s="245">
        <v>1.6533333333333329</v>
      </c>
      <c r="EI32" s="245">
        <v>0.315</v>
      </c>
      <c r="EJ32" s="413">
        <v>5.8333333333333327E-2</v>
      </c>
      <c r="EK32" s="245">
        <v>9.3750000000000018</v>
      </c>
      <c r="EL32" s="295">
        <v>1.7361111111111114</v>
      </c>
      <c r="EM32" s="246" t="s">
        <v>279</v>
      </c>
      <c r="EN32" s="323"/>
      <c r="EO32" s="897">
        <v>15.747407834101384</v>
      </c>
      <c r="EP32" s="245">
        <v>7.7155555555555555</v>
      </c>
      <c r="EQ32" s="245">
        <v>1.2150000000000001</v>
      </c>
      <c r="ER32" s="413">
        <v>0.22500000000000003</v>
      </c>
      <c r="ES32" s="245">
        <v>9.3750000000000018</v>
      </c>
      <c r="ET32" s="295">
        <v>1.7361111111111114</v>
      </c>
      <c r="EU32" s="246" t="s">
        <v>279</v>
      </c>
      <c r="EV32" s="323"/>
      <c r="EW32" s="897">
        <v>121.50777649769586</v>
      </c>
      <c r="EX32" s="245">
        <v>7.7155555555555555</v>
      </c>
      <c r="EY32" s="245">
        <v>9.375</v>
      </c>
      <c r="EZ32" s="413">
        <v>1.7361111111111112</v>
      </c>
      <c r="FA32" s="245">
        <v>9.3750000000000018</v>
      </c>
      <c r="FB32" s="295">
        <v>1.7361111111111114</v>
      </c>
      <c r="FC32" s="246" t="s">
        <v>279</v>
      </c>
    </row>
    <row r="33" spans="2:159" ht="20.100000000000001" customHeight="1">
      <c r="B33" s="1733"/>
      <c r="C33" s="1819"/>
      <c r="D33" s="191" t="s">
        <v>46</v>
      </c>
      <c r="E33" s="886" t="s">
        <v>187</v>
      </c>
      <c r="F33" s="874">
        <v>54</v>
      </c>
      <c r="G33" s="874">
        <v>10</v>
      </c>
      <c r="H33" s="1198"/>
      <c r="I33" s="1206">
        <v>1.19</v>
      </c>
      <c r="J33" s="291">
        <v>10</v>
      </c>
      <c r="K33" s="313">
        <v>10.8</v>
      </c>
      <c r="L33" s="305">
        <v>2</v>
      </c>
      <c r="M33" s="1200"/>
      <c r="N33" s="291">
        <v>9</v>
      </c>
      <c r="O33" s="293">
        <v>8.1999999999999993</v>
      </c>
      <c r="P33" s="1200"/>
      <c r="Q33" s="291">
        <v>100</v>
      </c>
      <c r="R33" s="313">
        <v>8.1999999999999993</v>
      </c>
      <c r="S33" s="293">
        <v>1.5185185185185186</v>
      </c>
      <c r="T33" s="1201"/>
      <c r="U33" s="291">
        <v>100</v>
      </c>
      <c r="V33" s="313">
        <v>8.1999999999999993</v>
      </c>
      <c r="W33" s="293">
        <v>1.5185185185185186</v>
      </c>
      <c r="X33" s="1200"/>
      <c r="Y33" s="291">
        <v>100</v>
      </c>
      <c r="Z33" s="313">
        <v>8.1999999999999993</v>
      </c>
      <c r="AA33" s="293">
        <v>1.5185185185185186</v>
      </c>
      <c r="AB33" s="1200"/>
      <c r="AC33" s="294">
        <v>100</v>
      </c>
      <c r="AD33" s="252">
        <v>8.1999999999999993</v>
      </c>
      <c r="AE33" s="293">
        <v>1.5185185185185186</v>
      </c>
      <c r="AF33" s="1202"/>
      <c r="AG33" s="897">
        <v>24.390243902439028</v>
      </c>
      <c r="AH33" s="1207">
        <v>8.1999999999999993</v>
      </c>
      <c r="AI33" s="1207">
        <v>2</v>
      </c>
      <c r="AJ33" s="313">
        <v>0.37037037037037035</v>
      </c>
      <c r="AK33" s="252">
        <v>10.199999999999999</v>
      </c>
      <c r="AL33" s="252">
        <v>1.8888888888888888</v>
      </c>
      <c r="AM33" s="694" t="s">
        <v>279</v>
      </c>
      <c r="AN33" s="1202"/>
      <c r="AO33" s="897">
        <v>0</v>
      </c>
      <c r="AP33" s="1207">
        <v>8.1999999999999993</v>
      </c>
      <c r="AQ33" s="1207">
        <v>0</v>
      </c>
      <c r="AR33" s="293">
        <v>0</v>
      </c>
      <c r="AS33" s="252">
        <v>10.199999999999999</v>
      </c>
      <c r="AT33" s="252">
        <v>1.8888888888888888</v>
      </c>
      <c r="AU33" s="694" t="s">
        <v>279</v>
      </c>
      <c r="AV33" s="1202"/>
      <c r="AW33" s="897">
        <v>42.682926829268297</v>
      </c>
      <c r="AX33" s="1208">
        <v>8.1999999999999993</v>
      </c>
      <c r="AY33" s="1208">
        <v>3.5</v>
      </c>
      <c r="AZ33" s="293">
        <v>0.64814814814814814</v>
      </c>
      <c r="BA33" s="252">
        <v>13.7</v>
      </c>
      <c r="BB33" s="252">
        <v>2.5370370370370372</v>
      </c>
      <c r="BC33" s="694" t="s">
        <v>279</v>
      </c>
      <c r="BD33" s="1202"/>
      <c r="BE33" s="897">
        <v>22.357723577235774</v>
      </c>
      <c r="BF33" s="252">
        <v>24.599999999999998</v>
      </c>
      <c r="BG33" s="252">
        <v>5.5</v>
      </c>
      <c r="BH33" s="293">
        <v>1.0185185185185184</v>
      </c>
      <c r="BI33" s="252">
        <v>13.7</v>
      </c>
      <c r="BJ33" s="252">
        <v>2.5370370370370372</v>
      </c>
      <c r="BK33" s="694" t="s">
        <v>279</v>
      </c>
      <c r="BL33" s="1202"/>
      <c r="BM33" s="897">
        <v>0</v>
      </c>
      <c r="BN33" s="252"/>
      <c r="BO33" s="252">
        <v>13.7</v>
      </c>
      <c r="BP33" s="293">
        <v>2.5370370370370372</v>
      </c>
      <c r="BQ33" s="252">
        <v>13.7</v>
      </c>
      <c r="BR33" s="252">
        <v>2.5370370370370372</v>
      </c>
      <c r="BS33" s="694" t="s">
        <v>279</v>
      </c>
      <c r="BT33" s="1202"/>
      <c r="BU33" s="897">
        <v>0.60975609756097571</v>
      </c>
      <c r="BV33" s="1209">
        <v>8.1999999999999993</v>
      </c>
      <c r="BW33" s="1209">
        <v>0.05</v>
      </c>
      <c r="BX33" s="293">
        <v>9.2592592592592587E-3</v>
      </c>
      <c r="BY33" s="252">
        <v>13.75</v>
      </c>
      <c r="BZ33" s="252">
        <v>2.5462962962962967</v>
      </c>
      <c r="CA33" s="694" t="s">
        <v>279</v>
      </c>
      <c r="CB33" s="1202"/>
      <c r="CC33" s="897">
        <v>99.878048780487831</v>
      </c>
      <c r="CD33" s="1207">
        <v>0.91111111111111098</v>
      </c>
      <c r="CE33" s="1209">
        <v>0.91</v>
      </c>
      <c r="CF33" s="293">
        <v>0.16851851851851851</v>
      </c>
      <c r="CG33" s="899">
        <v>14.66</v>
      </c>
      <c r="CH33" s="252">
        <v>2.7148148148148148</v>
      </c>
      <c r="CI33" s="694" t="s">
        <v>279</v>
      </c>
      <c r="CJ33" s="1202"/>
      <c r="CK33" s="897">
        <v>54.878048780487809</v>
      </c>
      <c r="CL33" s="1209">
        <v>0.91111111111111098</v>
      </c>
      <c r="CM33" s="1209">
        <v>0.5</v>
      </c>
      <c r="CN33" s="293">
        <v>9.2592592592592587E-2</v>
      </c>
      <c r="CO33" s="252">
        <v>15.16</v>
      </c>
      <c r="CP33" s="252">
        <v>2.8074074074074074</v>
      </c>
      <c r="CQ33" s="694" t="s">
        <v>279</v>
      </c>
      <c r="CR33" s="1202"/>
      <c r="CS33" s="897">
        <v>14.567627494456762</v>
      </c>
      <c r="CT33" s="252">
        <v>10.022222222222222</v>
      </c>
      <c r="CU33" s="252">
        <v>1.46</v>
      </c>
      <c r="CV33" s="293">
        <v>0.27037037037037037</v>
      </c>
      <c r="CW33" s="252">
        <v>15.16</v>
      </c>
      <c r="CX33" s="252">
        <v>2.8074074074074074</v>
      </c>
      <c r="CY33" s="694" t="s">
        <v>279</v>
      </c>
      <c r="CZ33" s="1202"/>
      <c r="DA33" s="897">
        <v>151.2638580931264</v>
      </c>
      <c r="DB33" s="252">
        <v>10.022222222222222</v>
      </c>
      <c r="DC33" s="252">
        <v>15.16</v>
      </c>
      <c r="DD33" s="293">
        <v>2.8074074074074074</v>
      </c>
      <c r="DE33" s="252">
        <v>15.16</v>
      </c>
      <c r="DF33" s="252">
        <v>2.8074074074074074</v>
      </c>
      <c r="DG33" s="694" t="s">
        <v>279</v>
      </c>
      <c r="DH33" s="1202"/>
      <c r="DI33" s="897">
        <v>57.621951219512205</v>
      </c>
      <c r="DJ33" s="1209">
        <v>0.91111111111111098</v>
      </c>
      <c r="DK33" s="1209">
        <v>0.52500000000000002</v>
      </c>
      <c r="DL33" s="293">
        <v>9.7222222222222224E-2</v>
      </c>
      <c r="DM33" s="252">
        <v>15.685</v>
      </c>
      <c r="DN33" s="252">
        <v>2.9046296296296297</v>
      </c>
      <c r="DO33" s="694" t="s">
        <v>279</v>
      </c>
      <c r="DP33" s="1202"/>
      <c r="DQ33" s="897">
        <v>0</v>
      </c>
      <c r="DR33" s="1209">
        <v>0.91111111111111098</v>
      </c>
      <c r="DS33" s="1209"/>
      <c r="DT33" s="293">
        <v>0</v>
      </c>
      <c r="DU33" s="252">
        <v>15.685</v>
      </c>
      <c r="DV33" s="252">
        <v>2.9046296296296297</v>
      </c>
      <c r="DW33" s="694" t="s">
        <v>279</v>
      </c>
      <c r="DX33" s="1202"/>
      <c r="DY33" s="897">
        <v>0</v>
      </c>
      <c r="DZ33" s="1209">
        <v>0.91111111111111098</v>
      </c>
      <c r="EA33" s="1209"/>
      <c r="EB33" s="293">
        <v>0</v>
      </c>
      <c r="EC33" s="245">
        <v>15.685</v>
      </c>
      <c r="ED33" s="295">
        <v>2.9046296296296297</v>
      </c>
      <c r="EE33" s="246" t="s">
        <v>279</v>
      </c>
      <c r="EF33" s="323"/>
      <c r="EG33" s="897">
        <v>19.207317073170735</v>
      </c>
      <c r="EH33" s="245">
        <v>2.7333333333333329</v>
      </c>
      <c r="EI33" s="245">
        <v>0.52500000000000002</v>
      </c>
      <c r="EJ33" s="413">
        <v>9.7222222222222224E-2</v>
      </c>
      <c r="EK33" s="245">
        <v>15.685</v>
      </c>
      <c r="EL33" s="295">
        <v>2.9046296296296297</v>
      </c>
      <c r="EM33" s="246" t="s">
        <v>279</v>
      </c>
      <c r="EN33" s="323"/>
      <c r="EO33" s="897">
        <v>15.56184668989547</v>
      </c>
      <c r="EP33" s="245">
        <v>12.755555555555555</v>
      </c>
      <c r="EQ33" s="245">
        <v>1.9849999999999999</v>
      </c>
      <c r="ER33" s="413">
        <v>0.36759259259259258</v>
      </c>
      <c r="ES33" s="245">
        <v>15.685</v>
      </c>
      <c r="ET33" s="295">
        <v>2.9046296296296297</v>
      </c>
      <c r="EU33" s="246" t="s">
        <v>279</v>
      </c>
      <c r="EV33" s="323"/>
      <c r="EW33" s="897">
        <v>122.96602787456446</v>
      </c>
      <c r="EX33" s="245">
        <v>12.755555555555555</v>
      </c>
      <c r="EY33" s="245">
        <v>15.684999999999999</v>
      </c>
      <c r="EZ33" s="413">
        <v>2.9046296296296292</v>
      </c>
      <c r="FA33" s="245">
        <v>15.685</v>
      </c>
      <c r="FB33" s="295">
        <v>2.9046296296296297</v>
      </c>
      <c r="FC33" s="246" t="s">
        <v>279</v>
      </c>
    </row>
    <row r="34" spans="2:159" ht="30.75" customHeight="1">
      <c r="B34" s="1733"/>
      <c r="C34" s="1819"/>
      <c r="D34" s="191" t="s">
        <v>47</v>
      </c>
      <c r="E34" s="886" t="s">
        <v>188</v>
      </c>
      <c r="F34" s="873">
        <v>27</v>
      </c>
      <c r="G34" s="874">
        <v>10</v>
      </c>
      <c r="H34" s="1198"/>
      <c r="I34" s="1206">
        <v>1.19</v>
      </c>
      <c r="J34" s="291">
        <v>10</v>
      </c>
      <c r="K34" s="313">
        <v>5.4</v>
      </c>
      <c r="L34" s="305">
        <v>2</v>
      </c>
      <c r="M34" s="1200"/>
      <c r="N34" s="291">
        <v>9</v>
      </c>
      <c r="O34" s="293">
        <v>13.6</v>
      </c>
      <c r="P34" s="1200"/>
      <c r="Q34" s="291">
        <v>40</v>
      </c>
      <c r="R34" s="313">
        <v>5.44</v>
      </c>
      <c r="S34" s="293">
        <v>2.0148148148148151</v>
      </c>
      <c r="T34" s="1201"/>
      <c r="U34" s="681">
        <v>90</v>
      </c>
      <c r="V34" s="313">
        <v>12.24</v>
      </c>
      <c r="W34" s="293">
        <v>4.5333333333333332</v>
      </c>
      <c r="X34" s="1200"/>
      <c r="Y34" s="291">
        <v>92</v>
      </c>
      <c r="Z34" s="313">
        <v>12.512</v>
      </c>
      <c r="AA34" s="293">
        <v>4.634074074074074</v>
      </c>
      <c r="AB34" s="1200"/>
      <c r="AC34" s="294">
        <v>74</v>
      </c>
      <c r="AD34" s="252">
        <v>10.064</v>
      </c>
      <c r="AE34" s="293">
        <v>3.7274074074074077</v>
      </c>
      <c r="AF34" s="1202"/>
      <c r="AG34" s="897">
        <v>7.3529411764705888</v>
      </c>
      <c r="AH34" s="1207">
        <v>13.6</v>
      </c>
      <c r="AI34" s="1207">
        <v>1</v>
      </c>
      <c r="AJ34" s="313">
        <v>0.37037037037037035</v>
      </c>
      <c r="AK34" s="252">
        <v>11.064</v>
      </c>
      <c r="AL34" s="252">
        <v>4.097777777777778</v>
      </c>
      <c r="AM34" s="694" t="s">
        <v>279</v>
      </c>
      <c r="AN34" s="1202"/>
      <c r="AO34" s="897">
        <v>0</v>
      </c>
      <c r="AP34" s="1207">
        <v>13.6</v>
      </c>
      <c r="AQ34" s="1207">
        <v>0</v>
      </c>
      <c r="AR34" s="293">
        <v>0</v>
      </c>
      <c r="AS34" s="252">
        <v>11.064</v>
      </c>
      <c r="AT34" s="252">
        <v>4.097777777777778</v>
      </c>
      <c r="AU34" s="694" t="s">
        <v>279</v>
      </c>
      <c r="AV34" s="1202"/>
      <c r="AW34" s="897">
        <v>0</v>
      </c>
      <c r="AX34" s="1208">
        <v>13</v>
      </c>
      <c r="AY34" s="1208">
        <v>0</v>
      </c>
      <c r="AZ34" s="293">
        <v>0</v>
      </c>
      <c r="BA34" s="252">
        <v>11.064</v>
      </c>
      <c r="BB34" s="252">
        <v>4.097777777777778</v>
      </c>
      <c r="BC34" s="694" t="s">
        <v>279</v>
      </c>
      <c r="BD34" s="1202"/>
      <c r="BE34" s="897">
        <v>2.4875621890547261</v>
      </c>
      <c r="BF34" s="252">
        <v>40.200000000000003</v>
      </c>
      <c r="BG34" s="252">
        <v>1</v>
      </c>
      <c r="BH34" s="903">
        <v>0.37037037037037035</v>
      </c>
      <c r="BI34" s="252">
        <v>11.064</v>
      </c>
      <c r="BJ34" s="252">
        <v>4.097777777777778</v>
      </c>
      <c r="BK34" s="694" t="s">
        <v>279</v>
      </c>
      <c r="BL34" s="1202"/>
      <c r="BM34" s="897">
        <v>0</v>
      </c>
      <c r="BN34" s="252"/>
      <c r="BO34" s="252">
        <v>11.064</v>
      </c>
      <c r="BP34" s="903">
        <v>4.097777777777778</v>
      </c>
      <c r="BQ34" s="252">
        <v>11.064</v>
      </c>
      <c r="BR34" s="252">
        <v>4.097777777777778</v>
      </c>
      <c r="BS34" s="694" t="s">
        <v>279</v>
      </c>
      <c r="BT34" s="1202"/>
      <c r="BU34" s="897">
        <v>0</v>
      </c>
      <c r="BV34" s="1209">
        <v>13</v>
      </c>
      <c r="BW34" s="1209">
        <v>0</v>
      </c>
      <c r="BX34" s="293">
        <v>0</v>
      </c>
      <c r="BY34" s="252">
        <v>11.064</v>
      </c>
      <c r="BZ34" s="252">
        <v>4.097777777777778</v>
      </c>
      <c r="CA34" s="694" t="s">
        <v>279</v>
      </c>
      <c r="CB34" s="1202"/>
      <c r="CC34" s="897">
        <v>0</v>
      </c>
      <c r="CD34" s="1207">
        <v>1.5111111111111111</v>
      </c>
      <c r="CE34" s="1209">
        <v>0</v>
      </c>
      <c r="CF34" s="293">
        <v>0</v>
      </c>
      <c r="CG34" s="899">
        <v>11.064</v>
      </c>
      <c r="CH34" s="252">
        <v>4.097777777777778</v>
      </c>
      <c r="CI34" s="694" t="s">
        <v>279</v>
      </c>
      <c r="CJ34" s="1202"/>
      <c r="CK34" s="897">
        <v>1.9852941176470587</v>
      </c>
      <c r="CL34" s="1209">
        <v>1.5111111111111111</v>
      </c>
      <c r="CM34" s="1209">
        <v>0.03</v>
      </c>
      <c r="CN34" s="293">
        <v>1.111111111111111E-2</v>
      </c>
      <c r="CO34" s="252">
        <v>11.093999999999999</v>
      </c>
      <c r="CP34" s="252">
        <v>4.1088888888888881</v>
      </c>
      <c r="CQ34" s="694" t="s">
        <v>279</v>
      </c>
      <c r="CR34" s="1202"/>
      <c r="CS34" s="897">
        <v>0.18723994452149792</v>
      </c>
      <c r="CT34" s="252">
        <v>16.022222222222222</v>
      </c>
      <c r="CU34" s="252">
        <v>0.03</v>
      </c>
      <c r="CV34" s="293">
        <v>1.111111111111111E-2</v>
      </c>
      <c r="CW34" s="252">
        <v>11.093999999999999</v>
      </c>
      <c r="CX34" s="252">
        <v>4.1088888888888881</v>
      </c>
      <c r="CY34" s="694" t="s">
        <v>279</v>
      </c>
      <c r="CZ34" s="1202"/>
      <c r="DA34" s="897">
        <v>69.241331484049923</v>
      </c>
      <c r="DB34" s="252">
        <v>16.022222222222222</v>
      </c>
      <c r="DC34" s="252">
        <v>11.093999999999999</v>
      </c>
      <c r="DD34" s="293">
        <v>4.1088888888888881</v>
      </c>
      <c r="DE34" s="252">
        <v>11.093999999999999</v>
      </c>
      <c r="DF34" s="252">
        <v>4.1088888888888881</v>
      </c>
      <c r="DG34" s="694" t="s">
        <v>279</v>
      </c>
      <c r="DH34" s="1202"/>
      <c r="DI34" s="897">
        <v>2.0845588235294121</v>
      </c>
      <c r="DJ34" s="1209">
        <v>1.5111111111111111</v>
      </c>
      <c r="DK34" s="1209">
        <v>3.15E-2</v>
      </c>
      <c r="DL34" s="293">
        <v>1.1666666666666665E-2</v>
      </c>
      <c r="DM34" s="252">
        <v>11.125499999999999</v>
      </c>
      <c r="DN34" s="252">
        <v>4.1205555555555549</v>
      </c>
      <c r="DO34" s="694" t="s">
        <v>279</v>
      </c>
      <c r="DP34" s="1202"/>
      <c r="DQ34" s="897">
        <v>0</v>
      </c>
      <c r="DR34" s="1209">
        <v>1.5111111111111111</v>
      </c>
      <c r="DS34" s="1209"/>
      <c r="DT34" s="293">
        <v>0</v>
      </c>
      <c r="DU34" s="252">
        <v>11.125499999999999</v>
      </c>
      <c r="DV34" s="252">
        <v>4.1205555555555549</v>
      </c>
      <c r="DW34" s="694" t="s">
        <v>279</v>
      </c>
      <c r="DX34" s="1202"/>
      <c r="DY34" s="897">
        <v>0</v>
      </c>
      <c r="DZ34" s="1209">
        <v>1.5111111111111111</v>
      </c>
      <c r="EA34" s="1209"/>
      <c r="EB34" s="293">
        <v>0</v>
      </c>
      <c r="EC34" s="245">
        <v>11.125499999999999</v>
      </c>
      <c r="ED34" s="295">
        <v>4.1205555555555549</v>
      </c>
      <c r="EE34" s="246" t="s">
        <v>279</v>
      </c>
      <c r="EF34" s="323"/>
      <c r="EG34" s="897">
        <v>0.69485294117647056</v>
      </c>
      <c r="EH34" s="245">
        <v>4.5333333333333332</v>
      </c>
      <c r="EI34" s="245">
        <v>3.15E-2</v>
      </c>
      <c r="EJ34" s="413">
        <v>1.1666666666666665E-2</v>
      </c>
      <c r="EK34" s="245">
        <v>11.125499999999999</v>
      </c>
      <c r="EL34" s="295">
        <v>4.1205555555555549</v>
      </c>
      <c r="EM34" s="246" t="s">
        <v>279</v>
      </c>
      <c r="EN34" s="323"/>
      <c r="EO34" s="897">
        <v>0.29918918918918913</v>
      </c>
      <c r="EP34" s="245">
        <v>20.555555555555557</v>
      </c>
      <c r="EQ34" s="245">
        <v>6.1499999999999999E-2</v>
      </c>
      <c r="ER34" s="413">
        <v>2.2777777777777779E-2</v>
      </c>
      <c r="ES34" s="245">
        <v>11.125499999999999</v>
      </c>
      <c r="ET34" s="295">
        <v>4.1205555555555549</v>
      </c>
      <c r="EU34" s="246" t="s">
        <v>279</v>
      </c>
      <c r="EV34" s="323"/>
      <c r="EW34" s="897">
        <v>54.124054054054049</v>
      </c>
      <c r="EX34" s="245">
        <v>20.555555555555557</v>
      </c>
      <c r="EY34" s="245">
        <v>11.125500000000001</v>
      </c>
      <c r="EZ34" s="413">
        <v>4.1205555555555557</v>
      </c>
      <c r="FA34" s="245">
        <v>11.125499999999999</v>
      </c>
      <c r="FB34" s="295">
        <v>4.1205555555555549</v>
      </c>
      <c r="FC34" s="246" t="s">
        <v>279</v>
      </c>
    </row>
    <row r="35" spans="2:159" ht="20.100000000000001" customHeight="1">
      <c r="B35" s="1733"/>
      <c r="C35" s="1819"/>
      <c r="D35" s="191" t="s">
        <v>102</v>
      </c>
      <c r="E35" s="886" t="s">
        <v>188</v>
      </c>
      <c r="F35" s="873">
        <v>27</v>
      </c>
      <c r="G35" s="874">
        <v>10</v>
      </c>
      <c r="H35" s="1198"/>
      <c r="I35" s="1206">
        <v>1.19</v>
      </c>
      <c r="J35" s="291">
        <v>10</v>
      </c>
      <c r="K35" s="313">
        <v>5.4</v>
      </c>
      <c r="L35" s="305">
        <v>2</v>
      </c>
      <c r="M35" s="1200"/>
      <c r="N35" s="291">
        <v>9</v>
      </c>
      <c r="O35" s="293">
        <v>13.6</v>
      </c>
      <c r="P35" s="1200"/>
      <c r="Q35" s="291">
        <v>40</v>
      </c>
      <c r="R35" s="313">
        <v>5.44</v>
      </c>
      <c r="S35" s="293">
        <v>2.0148148148148151</v>
      </c>
      <c r="T35" s="1201"/>
      <c r="U35" s="291">
        <v>90</v>
      </c>
      <c r="V35" s="313">
        <v>12.24</v>
      </c>
      <c r="W35" s="293">
        <v>4.5333333333333332</v>
      </c>
      <c r="X35" s="1200"/>
      <c r="Y35" s="291">
        <v>92</v>
      </c>
      <c r="Z35" s="313">
        <v>12.512</v>
      </c>
      <c r="AA35" s="293">
        <v>4.634074074074074</v>
      </c>
      <c r="AB35" s="1200"/>
      <c r="AC35" s="294">
        <v>74</v>
      </c>
      <c r="AD35" s="252">
        <v>10.064</v>
      </c>
      <c r="AE35" s="293">
        <v>3.7274074074074077</v>
      </c>
      <c r="AF35" s="1202"/>
      <c r="AG35" s="897">
        <v>0</v>
      </c>
      <c r="AH35" s="1207">
        <v>13.6</v>
      </c>
      <c r="AI35" s="1207">
        <v>0</v>
      </c>
      <c r="AJ35" s="313">
        <v>0</v>
      </c>
      <c r="AK35" s="252">
        <v>10.064</v>
      </c>
      <c r="AL35" s="252">
        <v>3.7274074074074077</v>
      </c>
      <c r="AM35" s="694" t="s">
        <v>279</v>
      </c>
      <c r="AN35" s="1202"/>
      <c r="AO35" s="897">
        <v>0</v>
      </c>
      <c r="AP35" s="1207">
        <v>13.6</v>
      </c>
      <c r="AQ35" s="1207">
        <v>0</v>
      </c>
      <c r="AR35" s="293">
        <v>0</v>
      </c>
      <c r="AS35" s="252">
        <v>10.064</v>
      </c>
      <c r="AT35" s="252">
        <v>3.7274074074074077</v>
      </c>
      <c r="AU35" s="694" t="s">
        <v>279</v>
      </c>
      <c r="AV35" s="1202"/>
      <c r="AW35" s="897">
        <v>0</v>
      </c>
      <c r="AX35" s="1208">
        <v>13</v>
      </c>
      <c r="AY35" s="1208">
        <v>0</v>
      </c>
      <c r="AZ35" s="293">
        <v>0</v>
      </c>
      <c r="BA35" s="252">
        <v>10.064</v>
      </c>
      <c r="BB35" s="252">
        <v>3.7274074074074077</v>
      </c>
      <c r="BC35" s="694" t="s">
        <v>279</v>
      </c>
      <c r="BD35" s="1202"/>
      <c r="BE35" s="897">
        <v>0</v>
      </c>
      <c r="BF35" s="252">
        <v>40.200000000000003</v>
      </c>
      <c r="BG35" s="252">
        <v>0</v>
      </c>
      <c r="BH35" s="293">
        <v>0</v>
      </c>
      <c r="BI35" s="252">
        <v>10.064</v>
      </c>
      <c r="BJ35" s="252">
        <v>3.7274074074074077</v>
      </c>
      <c r="BK35" s="694" t="s">
        <v>279</v>
      </c>
      <c r="BL35" s="1202"/>
      <c r="BM35" s="897">
        <v>0</v>
      </c>
      <c r="BN35" s="252"/>
      <c r="BO35" s="252">
        <v>10.064</v>
      </c>
      <c r="BP35" s="293">
        <v>3.7274074074074077</v>
      </c>
      <c r="BQ35" s="252">
        <v>10.064</v>
      </c>
      <c r="BR35" s="252">
        <v>3.7274074074074077</v>
      </c>
      <c r="BS35" s="694" t="s">
        <v>279</v>
      </c>
      <c r="BT35" s="1202"/>
      <c r="BU35" s="897">
        <v>0</v>
      </c>
      <c r="BV35" s="1209">
        <v>13</v>
      </c>
      <c r="BW35" s="1209">
        <v>0</v>
      </c>
      <c r="BX35" s="293">
        <v>0</v>
      </c>
      <c r="BY35" s="252">
        <v>10.064</v>
      </c>
      <c r="BZ35" s="252">
        <v>3.7274074074074077</v>
      </c>
      <c r="CA35" s="694" t="s">
        <v>279</v>
      </c>
      <c r="CB35" s="1202"/>
      <c r="CC35" s="897">
        <v>0</v>
      </c>
      <c r="CD35" s="1207">
        <v>1.5111111111111111</v>
      </c>
      <c r="CE35" s="1209">
        <v>0</v>
      </c>
      <c r="CF35" s="293">
        <v>0</v>
      </c>
      <c r="CG35" s="899">
        <v>10.064</v>
      </c>
      <c r="CH35" s="252">
        <v>3.7274074074074077</v>
      </c>
      <c r="CI35" s="694" t="s">
        <v>279</v>
      </c>
      <c r="CJ35" s="1202"/>
      <c r="CK35" s="897">
        <v>231.61764705882354</v>
      </c>
      <c r="CL35" s="1209">
        <v>1.5111111111111111</v>
      </c>
      <c r="CM35" s="1209">
        <v>3.5</v>
      </c>
      <c r="CN35" s="293">
        <v>1.2962962962962963</v>
      </c>
      <c r="CO35" s="252">
        <v>13.564</v>
      </c>
      <c r="CP35" s="252">
        <v>5.0237037037037036</v>
      </c>
      <c r="CQ35" s="694" t="s">
        <v>279</v>
      </c>
      <c r="CR35" s="1202"/>
      <c r="CS35" s="897">
        <v>21.844660194174757</v>
      </c>
      <c r="CT35" s="252">
        <v>16.022222222222222</v>
      </c>
      <c r="CU35" s="252">
        <v>3.5</v>
      </c>
      <c r="CV35" s="293">
        <v>1.2962962962962963</v>
      </c>
      <c r="CW35" s="252">
        <v>13.564</v>
      </c>
      <c r="CX35" s="252">
        <v>5.0237037037037036</v>
      </c>
      <c r="CY35" s="694" t="s">
        <v>279</v>
      </c>
      <c r="CZ35" s="1202"/>
      <c r="DA35" s="897">
        <v>84.657420249653256</v>
      </c>
      <c r="DB35" s="252">
        <v>16.022222222222222</v>
      </c>
      <c r="DC35" s="252">
        <v>13.564</v>
      </c>
      <c r="DD35" s="293">
        <v>5.0237037037037036</v>
      </c>
      <c r="DE35" s="252">
        <v>13.564</v>
      </c>
      <c r="DF35" s="252">
        <v>5.0237037037037036</v>
      </c>
      <c r="DG35" s="694" t="s">
        <v>279</v>
      </c>
      <c r="DH35" s="1202"/>
      <c r="DI35" s="897">
        <v>243.19852941176472</v>
      </c>
      <c r="DJ35" s="1209">
        <v>1.5111111111111111</v>
      </c>
      <c r="DK35" s="1209">
        <v>3.6749999999999998</v>
      </c>
      <c r="DL35" s="293">
        <v>1.3611111111111109</v>
      </c>
      <c r="DM35" s="252">
        <v>17.239000000000001</v>
      </c>
      <c r="DN35" s="252">
        <v>6.3848148148148152</v>
      </c>
      <c r="DO35" s="694" t="s">
        <v>279</v>
      </c>
      <c r="DP35" s="1202"/>
      <c r="DQ35" s="897">
        <v>0</v>
      </c>
      <c r="DR35" s="1209">
        <v>1.5111111111111111</v>
      </c>
      <c r="DS35" s="1209"/>
      <c r="DT35" s="293">
        <v>0</v>
      </c>
      <c r="DU35" s="252">
        <v>17.239000000000001</v>
      </c>
      <c r="DV35" s="252">
        <v>6.3848148148148152</v>
      </c>
      <c r="DW35" s="694" t="s">
        <v>279</v>
      </c>
      <c r="DX35" s="1202"/>
      <c r="DY35" s="897">
        <v>0</v>
      </c>
      <c r="DZ35" s="1209">
        <v>1.5111111111111111</v>
      </c>
      <c r="EA35" s="1209"/>
      <c r="EB35" s="293">
        <v>0</v>
      </c>
      <c r="EC35" s="245">
        <v>17.239000000000001</v>
      </c>
      <c r="ED35" s="295">
        <v>6.3848148148148152</v>
      </c>
      <c r="EE35" s="246" t="s">
        <v>279</v>
      </c>
      <c r="EF35" s="323"/>
      <c r="EG35" s="897">
        <v>81.066176470588232</v>
      </c>
      <c r="EH35" s="245">
        <v>4.5333333333333332</v>
      </c>
      <c r="EI35" s="245">
        <v>3.6749999999999998</v>
      </c>
      <c r="EJ35" s="413">
        <v>1.3611111111111109</v>
      </c>
      <c r="EK35" s="245">
        <v>17.239000000000001</v>
      </c>
      <c r="EL35" s="295">
        <v>6.3848148148148152</v>
      </c>
      <c r="EM35" s="246" t="s">
        <v>279</v>
      </c>
      <c r="EN35" s="323"/>
      <c r="EO35" s="897">
        <v>34.905405405405403</v>
      </c>
      <c r="EP35" s="245">
        <v>20.555555555555557</v>
      </c>
      <c r="EQ35" s="245">
        <v>7.1749999999999998</v>
      </c>
      <c r="ER35" s="413">
        <v>2.6574074074074074</v>
      </c>
      <c r="ES35" s="245">
        <v>17.239000000000001</v>
      </c>
      <c r="ET35" s="295">
        <v>6.3848148148148152</v>
      </c>
      <c r="EU35" s="246" t="s">
        <v>279</v>
      </c>
      <c r="EV35" s="323"/>
      <c r="EW35" s="897">
        <v>83.865405405405397</v>
      </c>
      <c r="EX35" s="245">
        <v>20.555555555555557</v>
      </c>
      <c r="EY35" s="245">
        <v>17.239000000000001</v>
      </c>
      <c r="EZ35" s="413">
        <v>6.3848148148148152</v>
      </c>
      <c r="FA35" s="245">
        <v>17.239000000000001</v>
      </c>
      <c r="FB35" s="295">
        <v>6.3848148148148152</v>
      </c>
      <c r="FC35" s="246" t="s">
        <v>279</v>
      </c>
    </row>
    <row r="36" spans="2:159" ht="20.100000000000001" customHeight="1">
      <c r="B36" s="1733"/>
      <c r="C36" s="1819"/>
      <c r="D36" s="191" t="s">
        <v>103</v>
      </c>
      <c r="E36" s="886" t="s">
        <v>188</v>
      </c>
      <c r="F36" s="873">
        <v>27</v>
      </c>
      <c r="G36" s="874">
        <v>10</v>
      </c>
      <c r="H36" s="1198"/>
      <c r="I36" s="1206">
        <v>1.19</v>
      </c>
      <c r="J36" s="291">
        <v>10</v>
      </c>
      <c r="K36" s="313">
        <v>2.7</v>
      </c>
      <c r="L36" s="293">
        <v>1</v>
      </c>
      <c r="M36" s="1200"/>
      <c r="N36" s="291">
        <v>9</v>
      </c>
      <c r="O36" s="293">
        <v>16.3</v>
      </c>
      <c r="P36" s="1200"/>
      <c r="Q36" s="291">
        <v>0</v>
      </c>
      <c r="R36" s="313">
        <v>0</v>
      </c>
      <c r="S36" s="293">
        <v>0</v>
      </c>
      <c r="T36" s="1201"/>
      <c r="U36" s="291">
        <v>90</v>
      </c>
      <c r="V36" s="313">
        <v>14.67</v>
      </c>
      <c r="W36" s="293">
        <v>5.4333333333333336</v>
      </c>
      <c r="X36" s="1200"/>
      <c r="Y36" s="291">
        <v>92</v>
      </c>
      <c r="Z36" s="313">
        <v>14.996000000000002</v>
      </c>
      <c r="AA36" s="293">
        <v>5.5540740740740748</v>
      </c>
      <c r="AB36" s="1200"/>
      <c r="AC36" s="294">
        <v>60.666666666666664</v>
      </c>
      <c r="AD36" s="252">
        <v>9.8886666666666674</v>
      </c>
      <c r="AE36" s="293">
        <v>3.662469135802469</v>
      </c>
      <c r="AF36" s="1202"/>
      <c r="AG36" s="897">
        <v>12.269938650306749</v>
      </c>
      <c r="AH36" s="1207">
        <v>16.3</v>
      </c>
      <c r="AI36" s="1207">
        <v>2</v>
      </c>
      <c r="AJ36" s="313">
        <v>0.7407407407407407</v>
      </c>
      <c r="AK36" s="252">
        <v>11.888666666666667</v>
      </c>
      <c r="AL36" s="252">
        <v>4.4032098765432099</v>
      </c>
      <c r="AM36" s="694" t="s">
        <v>279</v>
      </c>
      <c r="AN36" s="1202"/>
      <c r="AO36" s="897">
        <v>0</v>
      </c>
      <c r="AP36" s="1207">
        <v>16.3</v>
      </c>
      <c r="AQ36" s="1207">
        <v>0</v>
      </c>
      <c r="AR36" s="293">
        <v>0</v>
      </c>
      <c r="AS36" s="252">
        <v>11.888666666666667</v>
      </c>
      <c r="AT36" s="252">
        <v>4.4032098765432099</v>
      </c>
      <c r="AU36" s="694" t="s">
        <v>279</v>
      </c>
      <c r="AV36" s="1202"/>
      <c r="AW36" s="897">
        <v>43.75</v>
      </c>
      <c r="AX36" s="1208">
        <v>16</v>
      </c>
      <c r="AY36" s="1208">
        <v>7</v>
      </c>
      <c r="AZ36" s="293">
        <v>2.5925925925925926</v>
      </c>
      <c r="BA36" s="252">
        <v>18.888666666666666</v>
      </c>
      <c r="BB36" s="252">
        <v>6.9958024691358025</v>
      </c>
      <c r="BC36" s="694" t="s">
        <v>279</v>
      </c>
      <c r="BD36" s="1202"/>
      <c r="BE36" s="897">
        <v>18.518518518518519</v>
      </c>
      <c r="BF36" s="252">
        <v>48.6</v>
      </c>
      <c r="BG36" s="252">
        <v>9</v>
      </c>
      <c r="BH36" s="903">
        <v>3.333333333333333</v>
      </c>
      <c r="BI36" s="252">
        <v>18.888666666666666</v>
      </c>
      <c r="BJ36" s="252">
        <v>6.9958024691358025</v>
      </c>
      <c r="BK36" s="694" t="s">
        <v>279</v>
      </c>
      <c r="BL36" s="1202"/>
      <c r="BM36" s="897">
        <v>0</v>
      </c>
      <c r="BN36" s="252"/>
      <c r="BO36" s="252">
        <v>18.888666666666666</v>
      </c>
      <c r="BP36" s="903">
        <v>6.9958024691358025</v>
      </c>
      <c r="BQ36" s="252">
        <v>18.888666666666666</v>
      </c>
      <c r="BR36" s="252">
        <v>6.9958024691358025</v>
      </c>
      <c r="BS36" s="694" t="s">
        <v>279</v>
      </c>
      <c r="BT36" s="1202"/>
      <c r="BU36" s="897">
        <v>0</v>
      </c>
      <c r="BV36" s="1209">
        <v>16</v>
      </c>
      <c r="BW36" s="1209">
        <v>0</v>
      </c>
      <c r="BX36" s="293">
        <v>0</v>
      </c>
      <c r="BY36" s="252">
        <v>18.888666666666666</v>
      </c>
      <c r="BZ36" s="252">
        <v>6.9958024691358025</v>
      </c>
      <c r="CA36" s="694" t="s">
        <v>279</v>
      </c>
      <c r="CB36" s="1202"/>
      <c r="CC36" s="897">
        <v>0</v>
      </c>
      <c r="CD36" s="1207">
        <v>1.8111111111111111</v>
      </c>
      <c r="CE36" s="1209">
        <v>0</v>
      </c>
      <c r="CF36" s="293">
        <v>0</v>
      </c>
      <c r="CG36" s="899">
        <v>18.888666666666666</v>
      </c>
      <c r="CH36" s="252">
        <v>6.9958024691358025</v>
      </c>
      <c r="CI36" s="694" t="s">
        <v>279</v>
      </c>
      <c r="CJ36" s="1202"/>
      <c r="CK36" s="897">
        <v>193.25153374233128</v>
      </c>
      <c r="CL36" s="1209">
        <v>1.8111111111111111</v>
      </c>
      <c r="CM36" s="1209">
        <v>3.5</v>
      </c>
      <c r="CN36" s="293">
        <v>1.2962962962962963</v>
      </c>
      <c r="CO36" s="252">
        <v>22.388666666666666</v>
      </c>
      <c r="CP36" s="252">
        <v>8.2920987654320992</v>
      </c>
      <c r="CQ36" s="694" t="s">
        <v>279</v>
      </c>
      <c r="CR36" s="1202"/>
      <c r="CS36" s="897">
        <v>17.836919592298983</v>
      </c>
      <c r="CT36" s="252">
        <v>19.62222222222222</v>
      </c>
      <c r="CU36" s="252">
        <v>3.5</v>
      </c>
      <c r="CV36" s="293">
        <v>1.2962962962962963</v>
      </c>
      <c r="CW36" s="252">
        <v>22.388666666666666</v>
      </c>
      <c r="CX36" s="252">
        <v>8.2920987654320992</v>
      </c>
      <c r="CY36" s="694" t="s">
        <v>279</v>
      </c>
      <c r="CZ36" s="1202"/>
      <c r="DA36" s="897">
        <v>114.09852774631936</v>
      </c>
      <c r="DB36" s="252">
        <v>19.62222222222222</v>
      </c>
      <c r="DC36" s="252">
        <v>22.388666666666666</v>
      </c>
      <c r="DD36" s="293">
        <v>8.2920987654320992</v>
      </c>
      <c r="DE36" s="252">
        <v>22.388666666666666</v>
      </c>
      <c r="DF36" s="252">
        <v>8.2920987654320992</v>
      </c>
      <c r="DG36" s="694" t="s">
        <v>279</v>
      </c>
      <c r="DH36" s="1202"/>
      <c r="DI36" s="897">
        <v>202.91411042944785</v>
      </c>
      <c r="DJ36" s="1209">
        <v>1.8111111111111111</v>
      </c>
      <c r="DK36" s="1209">
        <v>3.6749999999999998</v>
      </c>
      <c r="DL36" s="293">
        <v>1.3611111111111109</v>
      </c>
      <c r="DM36" s="252">
        <v>26.063666666666666</v>
      </c>
      <c r="DN36" s="252">
        <v>9.6532098765432099</v>
      </c>
      <c r="DO36" s="694" t="s">
        <v>279</v>
      </c>
      <c r="DP36" s="1202"/>
      <c r="DQ36" s="897">
        <v>0</v>
      </c>
      <c r="DR36" s="1209">
        <v>1.8111111111111111</v>
      </c>
      <c r="DS36" s="1209"/>
      <c r="DT36" s="293">
        <v>0</v>
      </c>
      <c r="DU36" s="252">
        <v>26.063666666666666</v>
      </c>
      <c r="DV36" s="252">
        <v>9.6532098765432099</v>
      </c>
      <c r="DW36" s="694" t="s">
        <v>279</v>
      </c>
      <c r="DX36" s="1202"/>
      <c r="DY36" s="897">
        <v>0</v>
      </c>
      <c r="DZ36" s="1209">
        <v>1.8111111111111111</v>
      </c>
      <c r="EA36" s="1209"/>
      <c r="EB36" s="293">
        <v>0</v>
      </c>
      <c r="EC36" s="245">
        <v>26.063666666666666</v>
      </c>
      <c r="ED36" s="295">
        <v>9.6532098765432099</v>
      </c>
      <c r="EE36" s="246" t="s">
        <v>279</v>
      </c>
      <c r="EF36" s="323"/>
      <c r="EG36" s="897">
        <v>67.638036809815944</v>
      </c>
      <c r="EH36" s="245">
        <v>5.4333333333333336</v>
      </c>
      <c r="EI36" s="245">
        <v>3.6749999999999998</v>
      </c>
      <c r="EJ36" s="413">
        <v>1.3611111111111109</v>
      </c>
      <c r="EK36" s="245">
        <v>26.063666666666666</v>
      </c>
      <c r="EL36" s="295">
        <v>9.6532098765432099</v>
      </c>
      <c r="EM36" s="246" t="s">
        <v>279</v>
      </c>
      <c r="EN36" s="323"/>
      <c r="EO36" s="897">
        <v>28.636363636363637</v>
      </c>
      <c r="EP36" s="245">
        <v>25.055555555555554</v>
      </c>
      <c r="EQ36" s="245">
        <v>7.1749999999999998</v>
      </c>
      <c r="ER36" s="413">
        <v>2.6574074074074074</v>
      </c>
      <c r="ES36" s="245">
        <v>26.063666666666666</v>
      </c>
      <c r="ET36" s="295">
        <v>9.6532098765432099</v>
      </c>
      <c r="EU36" s="246" t="s">
        <v>279</v>
      </c>
      <c r="EV36" s="323"/>
      <c r="EW36" s="897">
        <v>104.02350332594237</v>
      </c>
      <c r="EX36" s="245">
        <v>25.055555555555554</v>
      </c>
      <c r="EY36" s="245">
        <v>26.063666666666666</v>
      </c>
      <c r="EZ36" s="413">
        <v>9.6532098765432099</v>
      </c>
      <c r="FA36" s="245">
        <v>26.063666666666666</v>
      </c>
      <c r="FB36" s="295">
        <v>9.6532098765432099</v>
      </c>
      <c r="FC36" s="246" t="s">
        <v>279</v>
      </c>
    </row>
    <row r="37" spans="2:159" ht="20.100000000000001" customHeight="1">
      <c r="B37" s="1733"/>
      <c r="C37" s="1819"/>
      <c r="D37" s="191" t="s">
        <v>114</v>
      </c>
      <c r="E37" s="886" t="s">
        <v>188</v>
      </c>
      <c r="F37" s="873">
        <v>27</v>
      </c>
      <c r="G37" s="874">
        <v>15</v>
      </c>
      <c r="H37" s="1198"/>
      <c r="I37" s="1206">
        <v>1.19</v>
      </c>
      <c r="J37" s="291">
        <v>10</v>
      </c>
      <c r="K37" s="313">
        <v>0</v>
      </c>
      <c r="L37" s="305">
        <v>0</v>
      </c>
      <c r="M37" s="1200"/>
      <c r="N37" s="291">
        <v>9</v>
      </c>
      <c r="O37" s="293">
        <v>19</v>
      </c>
      <c r="P37" s="1200"/>
      <c r="Q37" s="291">
        <v>0</v>
      </c>
      <c r="R37" s="313">
        <v>0</v>
      </c>
      <c r="S37" s="293">
        <v>0</v>
      </c>
      <c r="T37" s="1201"/>
      <c r="U37" s="291">
        <v>10</v>
      </c>
      <c r="V37" s="313">
        <v>1.9</v>
      </c>
      <c r="W37" s="293">
        <v>1.0555555555555554</v>
      </c>
      <c r="X37" s="1200"/>
      <c r="Y37" s="291">
        <v>95</v>
      </c>
      <c r="Z37" s="313">
        <v>18.05</v>
      </c>
      <c r="AA37" s="293">
        <v>10.027777777777779</v>
      </c>
      <c r="AB37" s="1200"/>
      <c r="AC37" s="294">
        <v>35</v>
      </c>
      <c r="AD37" s="252">
        <v>6.65</v>
      </c>
      <c r="AE37" s="293">
        <v>3.6944444444444446</v>
      </c>
      <c r="AF37" s="1202"/>
      <c r="AG37" s="897">
        <v>0</v>
      </c>
      <c r="AH37" s="1207">
        <v>19</v>
      </c>
      <c r="AI37" s="1207">
        <v>0</v>
      </c>
      <c r="AJ37" s="313">
        <v>0</v>
      </c>
      <c r="AK37" s="252">
        <v>6.65</v>
      </c>
      <c r="AL37" s="252">
        <v>3.6944444444444446</v>
      </c>
      <c r="AM37" s="694" t="s">
        <v>279</v>
      </c>
      <c r="AN37" s="1202"/>
      <c r="AO37" s="897">
        <v>0</v>
      </c>
      <c r="AP37" s="1207">
        <v>19</v>
      </c>
      <c r="AQ37" s="1207">
        <v>0</v>
      </c>
      <c r="AR37" s="293">
        <v>0</v>
      </c>
      <c r="AS37" s="252">
        <v>6.65</v>
      </c>
      <c r="AT37" s="252">
        <v>3.6944444444444446</v>
      </c>
      <c r="AU37" s="694" t="s">
        <v>279</v>
      </c>
      <c r="AV37" s="1202"/>
      <c r="AW37" s="897">
        <v>0</v>
      </c>
      <c r="AX37" s="1208">
        <v>19</v>
      </c>
      <c r="AY37" s="1208">
        <v>0</v>
      </c>
      <c r="AZ37" s="293">
        <v>0</v>
      </c>
      <c r="BA37" s="252">
        <v>6.65</v>
      </c>
      <c r="BB37" s="252">
        <v>3.6944444444444446</v>
      </c>
      <c r="BC37" s="694" t="s">
        <v>279</v>
      </c>
      <c r="BD37" s="1202"/>
      <c r="BE37" s="897">
        <v>0</v>
      </c>
      <c r="BF37" s="252">
        <v>57</v>
      </c>
      <c r="BG37" s="252">
        <v>0</v>
      </c>
      <c r="BH37" s="293">
        <v>0</v>
      </c>
      <c r="BI37" s="252">
        <v>6.65</v>
      </c>
      <c r="BJ37" s="252">
        <v>3.6944444444444446</v>
      </c>
      <c r="BK37" s="694" t="s">
        <v>279</v>
      </c>
      <c r="BL37" s="1202"/>
      <c r="BM37" s="897">
        <v>0</v>
      </c>
      <c r="BN37" s="252"/>
      <c r="BO37" s="252">
        <v>6.65</v>
      </c>
      <c r="BP37" s="293">
        <v>3.6944444444444446</v>
      </c>
      <c r="BQ37" s="252">
        <v>6.65</v>
      </c>
      <c r="BR37" s="252">
        <v>3.6944444444444446</v>
      </c>
      <c r="BS37" s="694" t="s">
        <v>279</v>
      </c>
      <c r="BT37" s="1202"/>
      <c r="BU37" s="897">
        <v>0</v>
      </c>
      <c r="BV37" s="1209">
        <v>19</v>
      </c>
      <c r="BW37" s="1209">
        <v>0</v>
      </c>
      <c r="BX37" s="293">
        <v>0</v>
      </c>
      <c r="BY37" s="252">
        <v>6.65</v>
      </c>
      <c r="BZ37" s="252">
        <v>3.6944444444444446</v>
      </c>
      <c r="CA37" s="694" t="s">
        <v>279</v>
      </c>
      <c r="CB37" s="1202"/>
      <c r="CC37" s="897">
        <v>0</v>
      </c>
      <c r="CD37" s="1207">
        <v>2.1111111111111112</v>
      </c>
      <c r="CE37" s="1209">
        <v>0</v>
      </c>
      <c r="CF37" s="293">
        <v>0</v>
      </c>
      <c r="CG37" s="899">
        <v>6.65</v>
      </c>
      <c r="CH37" s="252">
        <v>3.6944444444444446</v>
      </c>
      <c r="CI37" s="694" t="s">
        <v>279</v>
      </c>
      <c r="CJ37" s="1202"/>
      <c r="CK37" s="897">
        <v>23.684210526315788</v>
      </c>
      <c r="CL37" s="1209">
        <v>2.1111111111111112</v>
      </c>
      <c r="CM37" s="1209">
        <v>0.5</v>
      </c>
      <c r="CN37" s="293">
        <v>0.27777777777777779</v>
      </c>
      <c r="CO37" s="252">
        <v>7.15</v>
      </c>
      <c r="CP37" s="252">
        <v>3.9722222222222223</v>
      </c>
      <c r="CQ37" s="694" t="s">
        <v>279</v>
      </c>
      <c r="CR37" s="1202"/>
      <c r="CS37" s="897">
        <v>2.1531100478468899</v>
      </c>
      <c r="CT37" s="252">
        <v>23.222222222222221</v>
      </c>
      <c r="CU37" s="252">
        <v>0.5</v>
      </c>
      <c r="CV37" s="293">
        <v>0.27777777777777779</v>
      </c>
      <c r="CW37" s="252">
        <v>7.15</v>
      </c>
      <c r="CX37" s="252">
        <v>3.9722222222222223</v>
      </c>
      <c r="CY37" s="694" t="s">
        <v>279</v>
      </c>
      <c r="CZ37" s="1202"/>
      <c r="DA37" s="897">
        <v>30.789473684210527</v>
      </c>
      <c r="DB37" s="252">
        <v>23.222222222222221</v>
      </c>
      <c r="DC37" s="252">
        <v>7.15</v>
      </c>
      <c r="DD37" s="293">
        <v>3.9722222222222223</v>
      </c>
      <c r="DE37" s="252">
        <v>7.15</v>
      </c>
      <c r="DF37" s="252">
        <v>3.9722222222222223</v>
      </c>
      <c r="DG37" s="694" t="s">
        <v>279</v>
      </c>
      <c r="DH37" s="1202"/>
      <c r="DI37" s="897">
        <v>24.868421052631579</v>
      </c>
      <c r="DJ37" s="1209">
        <v>2.1111111111111112</v>
      </c>
      <c r="DK37" s="1209">
        <v>0.52500000000000002</v>
      </c>
      <c r="DL37" s="293">
        <v>0.29166666666666669</v>
      </c>
      <c r="DM37" s="252">
        <v>7.6750000000000007</v>
      </c>
      <c r="DN37" s="252">
        <v>4.2638888888888893</v>
      </c>
      <c r="DO37" s="694" t="s">
        <v>279</v>
      </c>
      <c r="DP37" s="1202"/>
      <c r="DQ37" s="897">
        <v>0</v>
      </c>
      <c r="DR37" s="1209">
        <v>2.1111111111111112</v>
      </c>
      <c r="DS37" s="1209"/>
      <c r="DT37" s="293">
        <v>0</v>
      </c>
      <c r="DU37" s="252">
        <v>7.6750000000000007</v>
      </c>
      <c r="DV37" s="252">
        <v>4.2638888888888893</v>
      </c>
      <c r="DW37" s="694" t="s">
        <v>279</v>
      </c>
      <c r="DX37" s="1202"/>
      <c r="DY37" s="897">
        <v>0</v>
      </c>
      <c r="DZ37" s="1209">
        <v>2.1111111111111112</v>
      </c>
      <c r="EA37" s="1209"/>
      <c r="EB37" s="293">
        <v>0</v>
      </c>
      <c r="EC37" s="245">
        <v>7.6750000000000007</v>
      </c>
      <c r="ED37" s="295">
        <v>4.2638888888888893</v>
      </c>
      <c r="EE37" s="246" t="s">
        <v>279</v>
      </c>
      <c r="EF37" s="323"/>
      <c r="EG37" s="897">
        <v>8.2894736842105257</v>
      </c>
      <c r="EH37" s="245">
        <v>6.3333333333333339</v>
      </c>
      <c r="EI37" s="245">
        <v>0.52500000000000002</v>
      </c>
      <c r="EJ37" s="413">
        <v>0.29166666666666669</v>
      </c>
      <c r="EK37" s="245">
        <v>7.6750000000000007</v>
      </c>
      <c r="EL37" s="295">
        <v>4.2638888888888893</v>
      </c>
      <c r="EM37" s="246" t="s">
        <v>279</v>
      </c>
      <c r="EN37" s="323"/>
      <c r="EO37" s="897">
        <v>3.468045112781954</v>
      </c>
      <c r="EP37" s="245">
        <v>29.555555555555557</v>
      </c>
      <c r="EQ37" s="245">
        <v>1.0249999999999999</v>
      </c>
      <c r="ER37" s="413">
        <v>0.56944444444444442</v>
      </c>
      <c r="ES37" s="245">
        <v>7.6750000000000007</v>
      </c>
      <c r="ET37" s="295">
        <v>4.2638888888888893</v>
      </c>
      <c r="EU37" s="246" t="s">
        <v>279</v>
      </c>
      <c r="EV37" s="323"/>
      <c r="EW37" s="897">
        <v>25.968045112781958</v>
      </c>
      <c r="EX37" s="245">
        <v>29.555555555555557</v>
      </c>
      <c r="EY37" s="245">
        <v>7.6750000000000007</v>
      </c>
      <c r="EZ37" s="413">
        <v>4.2638888888888893</v>
      </c>
      <c r="FA37" s="245">
        <v>7.6750000000000007</v>
      </c>
      <c r="FB37" s="295">
        <v>4.2638888888888893</v>
      </c>
      <c r="FC37" s="246" t="s">
        <v>279</v>
      </c>
    </row>
    <row r="38" spans="2:159" ht="20.100000000000001" customHeight="1">
      <c r="B38" s="1733"/>
      <c r="C38" s="1819"/>
      <c r="D38" s="191" t="s">
        <v>150</v>
      </c>
      <c r="E38" s="886" t="s">
        <v>188</v>
      </c>
      <c r="F38" s="873">
        <v>27</v>
      </c>
      <c r="G38" s="874">
        <v>25</v>
      </c>
      <c r="H38" s="1198"/>
      <c r="I38" s="1206">
        <v>0</v>
      </c>
      <c r="J38" s="291">
        <v>10</v>
      </c>
      <c r="K38" s="313">
        <v>0</v>
      </c>
      <c r="L38" s="305">
        <v>0</v>
      </c>
      <c r="M38" s="1200"/>
      <c r="N38" s="291">
        <v>9</v>
      </c>
      <c r="O38" s="293">
        <v>19</v>
      </c>
      <c r="P38" s="1200"/>
      <c r="Q38" s="908">
        <v>0</v>
      </c>
      <c r="R38" s="313">
        <v>0</v>
      </c>
      <c r="S38" s="293">
        <v>0</v>
      </c>
      <c r="T38" s="1200"/>
      <c r="U38" s="291">
        <v>10</v>
      </c>
      <c r="V38" s="313">
        <v>1.9</v>
      </c>
      <c r="W38" s="293">
        <v>1.7592592592592591</v>
      </c>
      <c r="X38" s="1200"/>
      <c r="Y38" s="291">
        <v>10</v>
      </c>
      <c r="Z38" s="313">
        <v>1.9</v>
      </c>
      <c r="AA38" s="293">
        <v>1.7592592592592591</v>
      </c>
      <c r="AB38" s="1200"/>
      <c r="AC38" s="294">
        <v>6.666666666666667</v>
      </c>
      <c r="AD38" s="252">
        <v>1.2666666666666666</v>
      </c>
      <c r="AE38" s="293">
        <v>1.1728395061728394</v>
      </c>
      <c r="AF38" s="1202"/>
      <c r="AG38" s="897">
        <v>0</v>
      </c>
      <c r="AH38" s="1207">
        <v>19</v>
      </c>
      <c r="AI38" s="1207">
        <v>0</v>
      </c>
      <c r="AJ38" s="313">
        <v>0</v>
      </c>
      <c r="AK38" s="252">
        <v>1.2666666666666666</v>
      </c>
      <c r="AL38" s="252">
        <v>1.1728395061728394</v>
      </c>
      <c r="AM38" s="694" t="s">
        <v>279</v>
      </c>
      <c r="AN38" s="1202"/>
      <c r="AO38" s="897">
        <v>0</v>
      </c>
      <c r="AP38" s="1207">
        <v>19</v>
      </c>
      <c r="AQ38" s="1207">
        <v>0</v>
      </c>
      <c r="AR38" s="293">
        <v>0</v>
      </c>
      <c r="AS38" s="252">
        <v>1.2666666666666666</v>
      </c>
      <c r="AT38" s="252">
        <v>1.1728395061728394</v>
      </c>
      <c r="AU38" s="694" t="s">
        <v>279</v>
      </c>
      <c r="AV38" s="1202"/>
      <c r="AW38" s="897">
        <v>0</v>
      </c>
      <c r="AX38" s="1208">
        <v>19</v>
      </c>
      <c r="AY38" s="1208">
        <v>0</v>
      </c>
      <c r="AZ38" s="293">
        <v>0</v>
      </c>
      <c r="BA38" s="252">
        <v>1.2666666666666666</v>
      </c>
      <c r="BB38" s="252">
        <v>1.1728395061728394</v>
      </c>
      <c r="BC38" s="694" t="s">
        <v>279</v>
      </c>
      <c r="BD38" s="1202"/>
      <c r="BE38" s="897">
        <v>0</v>
      </c>
      <c r="BF38" s="252">
        <v>57</v>
      </c>
      <c r="BG38" s="252">
        <v>0</v>
      </c>
      <c r="BH38" s="293">
        <v>0</v>
      </c>
      <c r="BI38" s="252">
        <v>1.2666666666666666</v>
      </c>
      <c r="BJ38" s="252">
        <v>1.1728395061728394</v>
      </c>
      <c r="BK38" s="694" t="s">
        <v>279</v>
      </c>
      <c r="BL38" s="1202"/>
      <c r="BM38" s="897">
        <v>0</v>
      </c>
      <c r="BN38" s="252"/>
      <c r="BO38" s="252">
        <v>1.2666666666666666</v>
      </c>
      <c r="BP38" s="293">
        <v>1.1728395061728394</v>
      </c>
      <c r="BQ38" s="252">
        <v>1.2666666666666666</v>
      </c>
      <c r="BR38" s="252">
        <v>1.1728395061728394</v>
      </c>
      <c r="BS38" s="694" t="s">
        <v>279</v>
      </c>
      <c r="BT38" s="1202"/>
      <c r="BU38" s="897">
        <v>0</v>
      </c>
      <c r="BV38" s="1209">
        <v>19</v>
      </c>
      <c r="BW38" s="1209">
        <v>0</v>
      </c>
      <c r="BX38" s="293">
        <v>0</v>
      </c>
      <c r="BY38" s="252">
        <v>1.2666666666666666</v>
      </c>
      <c r="BZ38" s="252">
        <v>1.1728395061728394</v>
      </c>
      <c r="CA38" s="694" t="s">
        <v>279</v>
      </c>
      <c r="CB38" s="1202"/>
      <c r="CC38" s="897">
        <v>0</v>
      </c>
      <c r="CD38" s="1207">
        <v>2.1111111111111112</v>
      </c>
      <c r="CE38" s="1209">
        <v>0</v>
      </c>
      <c r="CF38" s="293">
        <v>0</v>
      </c>
      <c r="CG38" s="899">
        <v>1.2666666666666666</v>
      </c>
      <c r="CH38" s="252">
        <v>1.1728395061728394</v>
      </c>
      <c r="CI38" s="694" t="s">
        <v>279</v>
      </c>
      <c r="CJ38" s="1202"/>
      <c r="CK38" s="897">
        <v>42.631578947368418</v>
      </c>
      <c r="CL38" s="1209">
        <v>2.1111111111111112</v>
      </c>
      <c r="CM38" s="1209">
        <v>0.9</v>
      </c>
      <c r="CN38" s="293">
        <v>0.83333333333333337</v>
      </c>
      <c r="CO38" s="252">
        <v>2.1666666666666665</v>
      </c>
      <c r="CP38" s="252">
        <v>2.0061728395061729</v>
      </c>
      <c r="CQ38" s="694" t="s">
        <v>279</v>
      </c>
      <c r="CR38" s="1202"/>
      <c r="CS38" s="897">
        <v>3.8755980861244024</v>
      </c>
      <c r="CT38" s="252">
        <v>23.222222222222221</v>
      </c>
      <c r="CU38" s="252">
        <v>0.9</v>
      </c>
      <c r="CV38" s="293">
        <v>0.83333333333333337</v>
      </c>
      <c r="CW38" s="252">
        <v>2.1666666666666665</v>
      </c>
      <c r="CX38" s="252">
        <v>2.0061728395061729</v>
      </c>
      <c r="CY38" s="694" t="s">
        <v>279</v>
      </c>
      <c r="CZ38" s="1202"/>
      <c r="DA38" s="897">
        <v>9.330143540669857</v>
      </c>
      <c r="DB38" s="252">
        <v>23.222222222222221</v>
      </c>
      <c r="DC38" s="252">
        <v>2.1666666666666665</v>
      </c>
      <c r="DD38" s="293">
        <v>2.0061728395061729</v>
      </c>
      <c r="DE38" s="252">
        <v>2.1666666666666665</v>
      </c>
      <c r="DF38" s="252">
        <v>2.0061728395061729</v>
      </c>
      <c r="DG38" s="694" t="s">
        <v>279</v>
      </c>
      <c r="DH38" s="1202"/>
      <c r="DI38" s="897">
        <v>44.763157894736842</v>
      </c>
      <c r="DJ38" s="1209">
        <v>2.1111111111111112</v>
      </c>
      <c r="DK38" s="1209">
        <v>0.94500000000000006</v>
      </c>
      <c r="DL38" s="293">
        <v>0.87500000000000011</v>
      </c>
      <c r="DM38" s="252">
        <v>3.1116666666666664</v>
      </c>
      <c r="DN38" s="252">
        <v>2.8811728395061724</v>
      </c>
      <c r="DO38" s="694" t="s">
        <v>279</v>
      </c>
      <c r="DP38" s="1202"/>
      <c r="DQ38" s="897">
        <v>0</v>
      </c>
      <c r="DR38" s="1209">
        <v>2.1111111111111112</v>
      </c>
      <c r="DS38" s="1209"/>
      <c r="DT38" s="293">
        <v>0</v>
      </c>
      <c r="DU38" s="252">
        <v>3.1116666666666664</v>
      </c>
      <c r="DV38" s="252">
        <v>2.8811728395061724</v>
      </c>
      <c r="DW38" s="694" t="s">
        <v>279</v>
      </c>
      <c r="DX38" s="1202"/>
      <c r="DY38" s="897">
        <v>0</v>
      </c>
      <c r="DZ38" s="1209">
        <v>2.1111111111111112</v>
      </c>
      <c r="EA38" s="1209"/>
      <c r="EB38" s="293">
        <v>0</v>
      </c>
      <c r="EC38" s="245">
        <v>3.1116666666666664</v>
      </c>
      <c r="ED38" s="295">
        <v>2.8811728395061724</v>
      </c>
      <c r="EE38" s="246" t="s">
        <v>279</v>
      </c>
      <c r="EF38" s="323"/>
      <c r="EG38" s="897">
        <v>14.921052631578945</v>
      </c>
      <c r="EH38" s="245">
        <v>6.3333333333333339</v>
      </c>
      <c r="EI38" s="245">
        <v>0.94500000000000006</v>
      </c>
      <c r="EJ38" s="413">
        <v>0.87500000000000011</v>
      </c>
      <c r="EK38" s="245">
        <v>3.1116666666666664</v>
      </c>
      <c r="EL38" s="295">
        <v>2.8811728395061724</v>
      </c>
      <c r="EM38" s="246" t="s">
        <v>279</v>
      </c>
      <c r="EN38" s="323"/>
      <c r="EO38" s="897">
        <v>6.242481203007519</v>
      </c>
      <c r="EP38" s="245">
        <v>29.555555555555557</v>
      </c>
      <c r="EQ38" s="245">
        <v>1.8450000000000002</v>
      </c>
      <c r="ER38" s="413">
        <v>1.7083333333333335</v>
      </c>
      <c r="ES38" s="245">
        <v>3.1116666666666664</v>
      </c>
      <c r="ET38" s="295">
        <v>2.8811728395061724</v>
      </c>
      <c r="EU38" s="246" t="s">
        <v>279</v>
      </c>
      <c r="EV38" s="323"/>
      <c r="EW38" s="897">
        <v>10.528195488721805</v>
      </c>
      <c r="EX38" s="245">
        <v>29.555555555555557</v>
      </c>
      <c r="EY38" s="245">
        <v>3.1116666666666668</v>
      </c>
      <c r="EZ38" s="413">
        <v>2.8811728395061729</v>
      </c>
      <c r="FA38" s="245">
        <v>3.1116666666666664</v>
      </c>
      <c r="FB38" s="295">
        <v>2.8811728395061724</v>
      </c>
      <c r="FC38" s="246" t="s">
        <v>279</v>
      </c>
    </row>
    <row r="39" spans="2:159" ht="20.100000000000001" customHeight="1">
      <c r="B39" s="1733"/>
      <c r="C39" s="1819"/>
      <c r="D39" s="191" t="s">
        <v>44</v>
      </c>
      <c r="E39" s="886" t="s">
        <v>188</v>
      </c>
      <c r="F39" s="873">
        <v>27</v>
      </c>
      <c r="G39" s="874">
        <v>12.5</v>
      </c>
      <c r="H39" s="1198"/>
      <c r="I39" s="1206">
        <v>0</v>
      </c>
      <c r="J39" s="291">
        <v>10</v>
      </c>
      <c r="K39" s="313">
        <v>0</v>
      </c>
      <c r="L39" s="305">
        <v>0</v>
      </c>
      <c r="M39" s="1200"/>
      <c r="N39" s="291">
        <v>9</v>
      </c>
      <c r="O39" s="293">
        <v>19</v>
      </c>
      <c r="P39" s="1200"/>
      <c r="Q39" s="291">
        <v>0</v>
      </c>
      <c r="R39" s="313">
        <v>0</v>
      </c>
      <c r="S39" s="293">
        <v>0</v>
      </c>
      <c r="T39" s="1201"/>
      <c r="U39" s="291">
        <v>0</v>
      </c>
      <c r="V39" s="313">
        <v>0</v>
      </c>
      <c r="W39" s="293">
        <v>0</v>
      </c>
      <c r="X39" s="1200"/>
      <c r="Y39" s="291">
        <v>12</v>
      </c>
      <c r="Z39" s="313">
        <v>2.2799999999999998</v>
      </c>
      <c r="AA39" s="293">
        <v>1.0555555555555554</v>
      </c>
      <c r="AB39" s="1200"/>
      <c r="AC39" s="294">
        <v>4</v>
      </c>
      <c r="AD39" s="252">
        <v>0.76</v>
      </c>
      <c r="AE39" s="293">
        <v>0.35185185185185186</v>
      </c>
      <c r="AF39" s="1202"/>
      <c r="AG39" s="897">
        <v>0</v>
      </c>
      <c r="AH39" s="1207">
        <v>19</v>
      </c>
      <c r="AI39" s="1207">
        <v>0</v>
      </c>
      <c r="AJ39" s="313">
        <v>0</v>
      </c>
      <c r="AK39" s="252">
        <v>0.76</v>
      </c>
      <c r="AL39" s="252">
        <v>0.35185185185185186</v>
      </c>
      <c r="AM39" s="694" t="s">
        <v>279</v>
      </c>
      <c r="AN39" s="1202"/>
      <c r="AO39" s="897">
        <v>0</v>
      </c>
      <c r="AP39" s="1207">
        <v>19</v>
      </c>
      <c r="AQ39" s="1207">
        <v>0</v>
      </c>
      <c r="AR39" s="252">
        <v>0</v>
      </c>
      <c r="AS39" s="252">
        <v>0.76</v>
      </c>
      <c r="AT39" s="252">
        <v>0.35185185185185186</v>
      </c>
      <c r="AU39" s="694" t="s">
        <v>279</v>
      </c>
      <c r="AV39" s="1202"/>
      <c r="AW39" s="897">
        <v>0</v>
      </c>
      <c r="AX39" s="1208">
        <v>19</v>
      </c>
      <c r="AY39" s="1208">
        <v>0</v>
      </c>
      <c r="AZ39" s="252">
        <v>0</v>
      </c>
      <c r="BA39" s="252">
        <v>0.76</v>
      </c>
      <c r="BB39" s="252">
        <v>0.35185185185185186</v>
      </c>
      <c r="BC39" s="694" t="s">
        <v>279</v>
      </c>
      <c r="BD39" s="1202"/>
      <c r="BE39" s="897">
        <v>0</v>
      </c>
      <c r="BF39" s="252">
        <v>57</v>
      </c>
      <c r="BG39" s="252">
        <v>0</v>
      </c>
      <c r="BH39" s="293">
        <v>0</v>
      </c>
      <c r="BI39" s="252">
        <v>0.76</v>
      </c>
      <c r="BJ39" s="252">
        <v>0.35185185185185186</v>
      </c>
      <c r="BK39" s="694" t="s">
        <v>279</v>
      </c>
      <c r="BL39" s="1202"/>
      <c r="BM39" s="897">
        <v>0</v>
      </c>
      <c r="BN39" s="252"/>
      <c r="BO39" s="252">
        <v>0.76</v>
      </c>
      <c r="BP39" s="293">
        <v>0.35185185185185186</v>
      </c>
      <c r="BQ39" s="252">
        <v>0.76</v>
      </c>
      <c r="BR39" s="252">
        <v>0.35185185185185186</v>
      </c>
      <c r="BS39" s="694" t="s">
        <v>279</v>
      </c>
      <c r="BT39" s="1202"/>
      <c r="BU39" s="897">
        <v>0</v>
      </c>
      <c r="BV39" s="1209">
        <v>1.5833333333333333</v>
      </c>
      <c r="BW39" s="1209">
        <v>0</v>
      </c>
      <c r="BX39" s="293">
        <v>0</v>
      </c>
      <c r="BY39" s="252">
        <v>0.76</v>
      </c>
      <c r="BZ39" s="252">
        <v>0.35185185185185186</v>
      </c>
      <c r="CA39" s="694" t="s">
        <v>279</v>
      </c>
      <c r="CB39" s="1202"/>
      <c r="CC39" s="897">
        <v>0</v>
      </c>
      <c r="CD39" s="1207">
        <v>2.1111111111111112</v>
      </c>
      <c r="CE39" s="1209">
        <v>0</v>
      </c>
      <c r="CF39" s="293">
        <v>0</v>
      </c>
      <c r="CG39" s="899">
        <v>0.76</v>
      </c>
      <c r="CH39" s="252">
        <v>0.35185185185185186</v>
      </c>
      <c r="CI39" s="694" t="s">
        <v>279</v>
      </c>
      <c r="CJ39" s="1202"/>
      <c r="CK39" s="897">
        <v>142.10526315789474</v>
      </c>
      <c r="CL39" s="1209">
        <v>2.1111111111111112</v>
      </c>
      <c r="CM39" s="1209">
        <v>3</v>
      </c>
      <c r="CN39" s="293">
        <v>1.3888888888888888</v>
      </c>
      <c r="CO39" s="252">
        <v>3.76</v>
      </c>
      <c r="CP39" s="252">
        <v>1.7407407407407407</v>
      </c>
      <c r="CQ39" s="694" t="s">
        <v>279</v>
      </c>
      <c r="CR39" s="1202"/>
      <c r="CS39" s="897">
        <v>51.674641148325364</v>
      </c>
      <c r="CT39" s="252">
        <v>5.8055555555555554</v>
      </c>
      <c r="CU39" s="252">
        <v>3</v>
      </c>
      <c r="CV39" s="293">
        <v>1.3888888888888888</v>
      </c>
      <c r="CW39" s="252">
        <v>3.76</v>
      </c>
      <c r="CX39" s="252">
        <v>1.7407407407407407</v>
      </c>
      <c r="CY39" s="694" t="s">
        <v>279</v>
      </c>
      <c r="CZ39" s="1202"/>
      <c r="DA39" s="897">
        <v>64.765550239234443</v>
      </c>
      <c r="DB39" s="252">
        <v>5.8055555555555554</v>
      </c>
      <c r="DC39" s="252">
        <v>3.76</v>
      </c>
      <c r="DD39" s="293">
        <v>1.7407407407407407</v>
      </c>
      <c r="DE39" s="252">
        <v>3.76</v>
      </c>
      <c r="DF39" s="252">
        <v>1.7407407407407407</v>
      </c>
      <c r="DG39" s="694" t="s">
        <v>279</v>
      </c>
      <c r="DH39" s="1202"/>
      <c r="DI39" s="897">
        <v>149.21052631578945</v>
      </c>
      <c r="DJ39" s="1209">
        <v>2.1111111111111112</v>
      </c>
      <c r="DK39" s="1209">
        <v>3.15</v>
      </c>
      <c r="DL39" s="293">
        <v>1.4583333333333333</v>
      </c>
      <c r="DM39" s="252">
        <v>6.91</v>
      </c>
      <c r="DN39" s="252">
        <v>3.1990740740740744</v>
      </c>
      <c r="DO39" s="694" t="s">
        <v>279</v>
      </c>
      <c r="DP39" s="1202"/>
      <c r="DQ39" s="897">
        <v>0</v>
      </c>
      <c r="DR39" s="1209">
        <v>2.1111111111111112</v>
      </c>
      <c r="DS39" s="1209"/>
      <c r="DT39" s="293">
        <v>0</v>
      </c>
      <c r="DU39" s="252">
        <v>6.91</v>
      </c>
      <c r="DV39" s="252">
        <v>3.1990740740740744</v>
      </c>
      <c r="DW39" s="694" t="s">
        <v>279</v>
      </c>
      <c r="DX39" s="1202"/>
      <c r="DY39" s="897">
        <v>0</v>
      </c>
      <c r="DZ39" s="1209">
        <v>2.1111111111111112</v>
      </c>
      <c r="EA39" s="1209"/>
      <c r="EB39" s="293">
        <v>0</v>
      </c>
      <c r="EC39" s="245">
        <v>6.91</v>
      </c>
      <c r="ED39" s="295">
        <v>3.1990740740740744</v>
      </c>
      <c r="EE39" s="246" t="s">
        <v>279</v>
      </c>
      <c r="EF39" s="323"/>
      <c r="EG39" s="897">
        <v>49.73684210526315</v>
      </c>
      <c r="EH39" s="245">
        <v>6.3333333333333339</v>
      </c>
      <c r="EI39" s="245">
        <v>3.15</v>
      </c>
      <c r="EJ39" s="413">
        <v>1.4583333333333333</v>
      </c>
      <c r="EK39" s="245">
        <v>6.91</v>
      </c>
      <c r="EL39" s="295">
        <v>3.1990740740740744</v>
      </c>
      <c r="EM39" s="246" t="s">
        <v>279</v>
      </c>
      <c r="EN39" s="323"/>
      <c r="EO39" s="897">
        <v>50.663615560640729</v>
      </c>
      <c r="EP39" s="245">
        <v>12.138888888888889</v>
      </c>
      <c r="EQ39" s="245">
        <v>6.15</v>
      </c>
      <c r="ER39" s="413">
        <v>2.8472222222222223</v>
      </c>
      <c r="ES39" s="245">
        <v>6.91</v>
      </c>
      <c r="ET39" s="295">
        <v>3.1990740740740744</v>
      </c>
      <c r="EU39" s="246" t="s">
        <v>279</v>
      </c>
      <c r="EV39" s="323"/>
      <c r="EW39" s="897">
        <v>56.924485125858126</v>
      </c>
      <c r="EX39" s="245">
        <v>12.138888888888889</v>
      </c>
      <c r="EY39" s="245">
        <v>6.91</v>
      </c>
      <c r="EZ39" s="413">
        <v>3.1990740740740744</v>
      </c>
      <c r="FA39" s="245">
        <v>6.91</v>
      </c>
      <c r="FB39" s="295">
        <v>3.1990740740740744</v>
      </c>
      <c r="FC39" s="246" t="s">
        <v>279</v>
      </c>
    </row>
    <row r="40" spans="2:159" ht="20.100000000000001" customHeight="1" thickBot="1">
      <c r="B40" s="1734"/>
      <c r="C40" s="1820"/>
      <c r="D40" s="193" t="s">
        <v>75</v>
      </c>
      <c r="E40" s="894"/>
      <c r="F40" s="881"/>
      <c r="G40" s="881">
        <v>100</v>
      </c>
      <c r="H40" s="1198"/>
      <c r="I40" s="1217">
        <v>12.139999999999997</v>
      </c>
      <c r="J40" s="298"/>
      <c r="K40" s="307"/>
      <c r="L40" s="299">
        <v>10.1</v>
      </c>
      <c r="M40" s="1200"/>
      <c r="N40" s="298"/>
      <c r="O40" s="308"/>
      <c r="P40" s="1200"/>
      <c r="Q40" s="298"/>
      <c r="R40" s="300" t="s">
        <v>4</v>
      </c>
      <c r="S40" s="299">
        <v>6.4666666666666677</v>
      </c>
      <c r="T40" s="1201"/>
      <c r="U40" s="298"/>
      <c r="V40" s="300" t="s">
        <v>4</v>
      </c>
      <c r="W40" s="299">
        <v>19.851851851851855</v>
      </c>
      <c r="X40" s="1200"/>
      <c r="Y40" s="298"/>
      <c r="Z40" s="309" t="s">
        <v>4</v>
      </c>
      <c r="AA40" s="299">
        <v>30.201851851851856</v>
      </c>
      <c r="AB40" s="1200"/>
      <c r="AC40" s="301"/>
      <c r="AD40" s="310" t="s">
        <v>4</v>
      </c>
      <c r="AE40" s="259">
        <v>18.840123456790124</v>
      </c>
      <c r="AF40" s="1202"/>
      <c r="AG40" s="904"/>
      <c r="AH40" s="905"/>
      <c r="AI40" s="905"/>
      <c r="AJ40" s="265">
        <v>2.3240740740740735</v>
      </c>
      <c r="AK40" s="906"/>
      <c r="AL40" s="265">
        <v>21.164197530864197</v>
      </c>
      <c r="AM40" s="259"/>
      <c r="AN40" s="1202"/>
      <c r="AO40" s="904"/>
      <c r="AP40" s="905"/>
      <c r="AQ40" s="905"/>
      <c r="AR40" s="265">
        <v>0.53703703703703698</v>
      </c>
      <c r="AS40" s="906"/>
      <c r="AT40" s="265">
        <v>21.701234567901231</v>
      </c>
      <c r="AU40" s="259"/>
      <c r="AV40" s="1202"/>
      <c r="AW40" s="904"/>
      <c r="AX40" s="905"/>
      <c r="AY40" s="905"/>
      <c r="AZ40" s="265">
        <v>4.4537037037037033</v>
      </c>
      <c r="BA40" s="906"/>
      <c r="BB40" s="265">
        <v>26.154938271604941</v>
      </c>
      <c r="BC40" s="259"/>
      <c r="BD40" s="1202"/>
      <c r="BE40" s="904"/>
      <c r="BF40" s="906"/>
      <c r="BG40" s="906"/>
      <c r="BH40" s="265">
        <v>7.314814814814814</v>
      </c>
      <c r="BI40" s="906"/>
      <c r="BJ40" s="265">
        <v>26.154938271604941</v>
      </c>
      <c r="BK40" s="259"/>
      <c r="BL40" s="1202"/>
      <c r="BM40" s="904"/>
      <c r="BN40" s="906"/>
      <c r="BO40" s="906"/>
      <c r="BP40" s="265">
        <v>26.154938271604941</v>
      </c>
      <c r="BQ40" s="906"/>
      <c r="BR40" s="265">
        <v>26.154938271604941</v>
      </c>
      <c r="BS40" s="259"/>
      <c r="BT40" s="1202"/>
      <c r="BU40" s="904"/>
      <c r="BV40" s="906"/>
      <c r="BW40" s="906"/>
      <c r="BX40" s="265">
        <v>1.8518518518518517E-2</v>
      </c>
      <c r="BY40" s="906"/>
      <c r="BZ40" s="265">
        <v>26.17345679012346</v>
      </c>
      <c r="CA40" s="259"/>
      <c r="CB40" s="1202"/>
      <c r="CC40" s="904"/>
      <c r="CD40" s="906"/>
      <c r="CE40" s="906"/>
      <c r="CF40" s="259">
        <v>0.27037037037037037</v>
      </c>
      <c r="CG40" s="907"/>
      <c r="CH40" s="265">
        <v>26.443827160493825</v>
      </c>
      <c r="CI40" s="259"/>
      <c r="CJ40" s="1202"/>
      <c r="CK40" s="904"/>
      <c r="CL40" s="906"/>
      <c r="CM40" s="906"/>
      <c r="CN40" s="265">
        <v>5.4768518518518512</v>
      </c>
      <c r="CO40" s="906"/>
      <c r="CP40" s="265">
        <v>31.920679012345676</v>
      </c>
      <c r="CQ40" s="259"/>
      <c r="CR40" s="1202"/>
      <c r="CS40" s="904"/>
      <c r="CT40" s="906"/>
      <c r="CU40" s="906"/>
      <c r="CV40" s="265">
        <v>5.7657407407407408</v>
      </c>
      <c r="CW40" s="906"/>
      <c r="CX40" s="265">
        <v>31.920679012345676</v>
      </c>
      <c r="CY40" s="259"/>
      <c r="CZ40" s="1202"/>
      <c r="DA40" s="904"/>
      <c r="DB40" s="906"/>
      <c r="DC40" s="906"/>
      <c r="DD40" s="265">
        <v>31.920679012345676</v>
      </c>
      <c r="DE40" s="906"/>
      <c r="DF40" s="265">
        <v>31.920679012345676</v>
      </c>
      <c r="DG40" s="259"/>
      <c r="DH40" s="1202"/>
      <c r="DI40" s="904"/>
      <c r="DJ40" s="906"/>
      <c r="DK40" s="906"/>
      <c r="DL40" s="265">
        <v>5.7506944444444441</v>
      </c>
      <c r="DM40" s="906"/>
      <c r="DN40" s="265">
        <v>37.671373456790128</v>
      </c>
      <c r="DO40" s="259"/>
      <c r="DP40" s="1202"/>
      <c r="DQ40" s="904"/>
      <c r="DR40" s="906"/>
      <c r="DS40" s="906"/>
      <c r="DT40" s="265">
        <v>0</v>
      </c>
      <c r="DU40" s="906"/>
      <c r="DV40" s="265">
        <v>37.671373456790128</v>
      </c>
      <c r="DW40" s="259"/>
      <c r="DX40" s="1202"/>
      <c r="DY40" s="904"/>
      <c r="DZ40" s="906"/>
      <c r="EA40" s="906"/>
      <c r="EB40" s="265">
        <v>0</v>
      </c>
      <c r="EC40" s="302"/>
      <c r="ED40" s="260">
        <v>37.671373456790128</v>
      </c>
      <c r="EE40" s="259"/>
      <c r="EF40" s="323"/>
      <c r="EG40" s="904"/>
      <c r="EH40" s="302"/>
      <c r="EI40" s="302"/>
      <c r="EJ40" s="265">
        <v>5.7506944444444441</v>
      </c>
      <c r="EK40" s="302"/>
      <c r="EL40" s="260">
        <v>37.671373456790128</v>
      </c>
      <c r="EM40" s="259"/>
      <c r="EN40" s="323"/>
      <c r="EO40" s="904"/>
      <c r="EP40" s="302"/>
      <c r="EQ40" s="302"/>
      <c r="ER40" s="265">
        <v>11.516435185185188</v>
      </c>
      <c r="ES40" s="302"/>
      <c r="ET40" s="260">
        <v>37.671373456790128</v>
      </c>
      <c r="EU40" s="259"/>
      <c r="EV40" s="323"/>
      <c r="EW40" s="904"/>
      <c r="EX40" s="302"/>
      <c r="EY40" s="302"/>
      <c r="EZ40" s="265">
        <v>37.671373456790128</v>
      </c>
      <c r="FA40" s="302"/>
      <c r="FB40" s="260">
        <v>37.671373456790128</v>
      </c>
      <c r="FC40" s="259"/>
    </row>
    <row r="41" spans="2:159" ht="20.100000000000001" customHeight="1">
      <c r="B41" s="1748" t="s">
        <v>29</v>
      </c>
      <c r="C41" s="1828" t="s">
        <v>136</v>
      </c>
      <c r="D41" s="197" t="s">
        <v>49</v>
      </c>
      <c r="E41" s="890" t="s">
        <v>186</v>
      </c>
      <c r="F41" s="879">
        <v>1</v>
      </c>
      <c r="G41" s="879">
        <v>10</v>
      </c>
      <c r="H41" s="1198"/>
      <c r="I41" s="1206">
        <v>5</v>
      </c>
      <c r="J41" s="287">
        <v>1</v>
      </c>
      <c r="K41" s="450">
        <v>0</v>
      </c>
      <c r="L41" s="303">
        <v>0</v>
      </c>
      <c r="M41" s="1200"/>
      <c r="N41" s="681">
        <v>0</v>
      </c>
      <c r="O41" s="454">
        <v>1</v>
      </c>
      <c r="P41" s="1200"/>
      <c r="Q41" s="287">
        <v>100</v>
      </c>
      <c r="R41" s="450">
        <v>1</v>
      </c>
      <c r="S41" s="288">
        <v>10</v>
      </c>
      <c r="T41" s="1201"/>
      <c r="U41" s="291">
        <v>100</v>
      </c>
      <c r="V41" s="313">
        <v>1</v>
      </c>
      <c r="W41" s="293">
        <v>10</v>
      </c>
      <c r="X41" s="1200"/>
      <c r="Y41" s="287">
        <v>100</v>
      </c>
      <c r="Z41" s="450">
        <v>1</v>
      </c>
      <c r="AA41" s="293">
        <v>10</v>
      </c>
      <c r="AB41" s="1200"/>
      <c r="AC41" s="294">
        <v>100</v>
      </c>
      <c r="AD41" s="252">
        <v>1</v>
      </c>
      <c r="AE41" s="293">
        <v>10</v>
      </c>
      <c r="AF41" s="1202"/>
      <c r="AG41" s="897">
        <v>0</v>
      </c>
      <c r="AH41" s="1207">
        <v>1</v>
      </c>
      <c r="AI41" s="1207">
        <v>0</v>
      </c>
      <c r="AJ41" s="313">
        <v>0</v>
      </c>
      <c r="AK41" s="252">
        <v>1</v>
      </c>
      <c r="AL41" s="252">
        <v>10</v>
      </c>
      <c r="AM41" s="694" t="s">
        <v>279</v>
      </c>
      <c r="AN41" s="1202"/>
      <c r="AO41" s="897">
        <v>0</v>
      </c>
      <c r="AP41" s="1207">
        <v>0</v>
      </c>
      <c r="AQ41" s="1207">
        <v>0</v>
      </c>
      <c r="AR41" s="293">
        <v>0</v>
      </c>
      <c r="AS41" s="252">
        <v>1</v>
      </c>
      <c r="AT41" s="252">
        <v>10</v>
      </c>
      <c r="AU41" s="694" t="s">
        <v>279</v>
      </c>
      <c r="AV41" s="1202"/>
      <c r="AW41" s="897">
        <v>18.749999999999996</v>
      </c>
      <c r="AX41" s="1208">
        <v>0.8</v>
      </c>
      <c r="AY41" s="1208">
        <v>0.15</v>
      </c>
      <c r="AZ41" s="293">
        <v>1.5</v>
      </c>
      <c r="BA41" s="252">
        <v>1.1499999999999999</v>
      </c>
      <c r="BB41" s="252">
        <v>11.5</v>
      </c>
      <c r="BC41" s="694" t="s">
        <v>279</v>
      </c>
      <c r="BD41" s="1202"/>
      <c r="BE41" s="897">
        <v>8.3333333333333321</v>
      </c>
      <c r="BF41" s="252">
        <v>1.8</v>
      </c>
      <c r="BG41" s="252">
        <v>0.15</v>
      </c>
      <c r="BH41" s="903">
        <v>1.5</v>
      </c>
      <c r="BI41" s="252">
        <v>1.1499999999999999</v>
      </c>
      <c r="BJ41" s="252">
        <v>11.5</v>
      </c>
      <c r="BK41" s="694" t="s">
        <v>279</v>
      </c>
      <c r="BL41" s="1202"/>
      <c r="BM41" s="897">
        <v>0</v>
      </c>
      <c r="BN41" s="252"/>
      <c r="BO41" s="252">
        <v>1.1499999999999999</v>
      </c>
      <c r="BP41" s="903">
        <v>11.5</v>
      </c>
      <c r="BQ41" s="252">
        <v>1.1499999999999999</v>
      </c>
      <c r="BR41" s="252">
        <v>11.5</v>
      </c>
      <c r="BS41" s="694" t="s">
        <v>279</v>
      </c>
      <c r="BT41" s="1202"/>
      <c r="BU41" s="897">
        <v>0</v>
      </c>
      <c r="BV41" s="1209">
        <v>0</v>
      </c>
      <c r="BW41" s="1209">
        <v>0</v>
      </c>
      <c r="BX41" s="293">
        <v>0</v>
      </c>
      <c r="BY41" s="252">
        <v>1.1499999999999999</v>
      </c>
      <c r="BZ41" s="252">
        <v>11.5</v>
      </c>
      <c r="CA41" s="694" t="s">
        <v>279</v>
      </c>
      <c r="CB41" s="1202"/>
      <c r="CC41" s="897">
        <v>0</v>
      </c>
      <c r="CD41" s="1209">
        <v>0</v>
      </c>
      <c r="CE41" s="1209">
        <v>0</v>
      </c>
      <c r="CF41" s="293">
        <v>0</v>
      </c>
      <c r="CG41" s="899">
        <v>1.1499999999999999</v>
      </c>
      <c r="CH41" s="252">
        <v>11.5</v>
      </c>
      <c r="CI41" s="694" t="s">
        <v>279</v>
      </c>
      <c r="CJ41" s="1202"/>
      <c r="CK41" s="897">
        <v>99.000000000000014</v>
      </c>
      <c r="CL41" s="1209">
        <v>0.1111111111111111</v>
      </c>
      <c r="CM41" s="1209">
        <v>0.11</v>
      </c>
      <c r="CN41" s="293">
        <v>1.1000000000000001</v>
      </c>
      <c r="CO41" s="252">
        <v>1.26</v>
      </c>
      <c r="CP41" s="252">
        <v>12.6</v>
      </c>
      <c r="CQ41" s="694" t="s">
        <v>279</v>
      </c>
      <c r="CR41" s="1202"/>
      <c r="CS41" s="897">
        <v>99.000000000000014</v>
      </c>
      <c r="CT41" s="252">
        <v>0.1111111111111111</v>
      </c>
      <c r="CU41" s="252">
        <v>0.11</v>
      </c>
      <c r="CV41" s="293">
        <v>1.1000000000000001</v>
      </c>
      <c r="CW41" s="252">
        <v>1.26</v>
      </c>
      <c r="CX41" s="252">
        <v>12.6</v>
      </c>
      <c r="CY41" s="694" t="s">
        <v>279</v>
      </c>
      <c r="CZ41" s="1202"/>
      <c r="DA41" s="897">
        <v>1134</v>
      </c>
      <c r="DB41" s="252">
        <v>0.1111111111111111</v>
      </c>
      <c r="DC41" s="252">
        <v>1.26</v>
      </c>
      <c r="DD41" s="293">
        <v>12.6</v>
      </c>
      <c r="DE41" s="252">
        <v>1.26</v>
      </c>
      <c r="DF41" s="252">
        <v>12.6</v>
      </c>
      <c r="DG41" s="694" t="s">
        <v>279</v>
      </c>
      <c r="DH41" s="1202"/>
      <c r="DI41" s="897">
        <v>103.95</v>
      </c>
      <c r="DJ41" s="1209">
        <v>0.1111111111111111</v>
      </c>
      <c r="DK41" s="1209">
        <v>0.11550000000000001</v>
      </c>
      <c r="DL41" s="293">
        <v>1.155</v>
      </c>
      <c r="DM41" s="252">
        <v>1.3754999999999999</v>
      </c>
      <c r="DN41" s="252">
        <v>13.754999999999999</v>
      </c>
      <c r="DO41" s="694" t="s">
        <v>279</v>
      </c>
      <c r="DP41" s="1202"/>
      <c r="DQ41" s="897">
        <v>0</v>
      </c>
      <c r="DR41" s="1209">
        <v>0.1111111111111111</v>
      </c>
      <c r="DS41" s="1209"/>
      <c r="DT41" s="293">
        <v>0</v>
      </c>
      <c r="DU41" s="252">
        <v>1.3754999999999999</v>
      </c>
      <c r="DV41" s="252">
        <v>13.754999999999999</v>
      </c>
      <c r="DW41" s="694" t="s">
        <v>279</v>
      </c>
      <c r="DX41" s="1202"/>
      <c r="DY41" s="897">
        <v>0</v>
      </c>
      <c r="DZ41" s="1209">
        <v>0.1111111111111111</v>
      </c>
      <c r="EA41" s="1209"/>
      <c r="EB41" s="293">
        <v>0</v>
      </c>
      <c r="EC41" s="245">
        <v>1.3754999999999999</v>
      </c>
      <c r="ED41" s="295">
        <v>13.754999999999999</v>
      </c>
      <c r="EE41" s="246" t="s">
        <v>279</v>
      </c>
      <c r="EF41" s="323"/>
      <c r="EG41" s="897">
        <v>34.650000000000006</v>
      </c>
      <c r="EH41" s="245">
        <v>0.33333333333333331</v>
      </c>
      <c r="EI41" s="245">
        <v>0.11550000000000001</v>
      </c>
      <c r="EJ41" s="413">
        <v>1.155</v>
      </c>
      <c r="EK41" s="245">
        <v>1.3754999999999999</v>
      </c>
      <c r="EL41" s="295">
        <v>13.754999999999999</v>
      </c>
      <c r="EM41" s="246" t="s">
        <v>279</v>
      </c>
      <c r="EN41" s="323"/>
      <c r="EO41" s="897">
        <v>50.737500000000004</v>
      </c>
      <c r="EP41" s="245">
        <v>0.44444444444444442</v>
      </c>
      <c r="EQ41" s="245">
        <v>0.22550000000000001</v>
      </c>
      <c r="ER41" s="413">
        <v>2.2549999999999999</v>
      </c>
      <c r="ES41" s="245">
        <v>1.3754999999999999</v>
      </c>
      <c r="ET41" s="295">
        <v>13.754999999999999</v>
      </c>
      <c r="EU41" s="246" t="s">
        <v>279</v>
      </c>
      <c r="EV41" s="323"/>
      <c r="EW41" s="897">
        <v>309.48750000000001</v>
      </c>
      <c r="EX41" s="245">
        <v>0.44444444444444442</v>
      </c>
      <c r="EY41" s="245">
        <v>1.3754999999999999</v>
      </c>
      <c r="EZ41" s="413">
        <v>13.754999999999999</v>
      </c>
      <c r="FA41" s="245">
        <v>1.3754999999999999</v>
      </c>
      <c r="FB41" s="295">
        <v>13.754999999999999</v>
      </c>
      <c r="FC41" s="246" t="s">
        <v>279</v>
      </c>
    </row>
    <row r="42" spans="2:159" ht="20.100000000000001" customHeight="1">
      <c r="B42" s="1733"/>
      <c r="C42" s="1829"/>
      <c r="D42" s="191" t="s">
        <v>50</v>
      </c>
      <c r="E42" s="886" t="s">
        <v>186</v>
      </c>
      <c r="F42" s="873">
        <v>1</v>
      </c>
      <c r="G42" s="874">
        <v>10</v>
      </c>
      <c r="H42" s="1198"/>
      <c r="I42" s="1206">
        <v>5</v>
      </c>
      <c r="J42" s="291">
        <v>1</v>
      </c>
      <c r="K42" s="313">
        <v>0.7</v>
      </c>
      <c r="L42" s="293">
        <v>7</v>
      </c>
      <c r="M42" s="1200"/>
      <c r="N42" s="291">
        <v>0</v>
      </c>
      <c r="O42" s="293">
        <v>0.30000000000000004</v>
      </c>
      <c r="P42" s="1200"/>
      <c r="Q42" s="291">
        <v>100</v>
      </c>
      <c r="R42" s="313">
        <v>0.30000000000000004</v>
      </c>
      <c r="S42" s="293">
        <v>3.0000000000000004</v>
      </c>
      <c r="T42" s="1201"/>
      <c r="U42" s="291">
        <v>100</v>
      </c>
      <c r="V42" s="313">
        <v>0.30000000000000004</v>
      </c>
      <c r="W42" s="293">
        <v>3.0000000000000004</v>
      </c>
      <c r="X42" s="1200"/>
      <c r="Y42" s="291">
        <v>100</v>
      </c>
      <c r="Z42" s="313">
        <v>0.30000000000000004</v>
      </c>
      <c r="AA42" s="293">
        <v>3.0000000000000004</v>
      </c>
      <c r="AB42" s="1200"/>
      <c r="AC42" s="294">
        <v>100</v>
      </c>
      <c r="AD42" s="252">
        <v>0.30000000000000004</v>
      </c>
      <c r="AE42" s="293">
        <v>3.0000000000000004</v>
      </c>
      <c r="AF42" s="1202"/>
      <c r="AG42" s="897">
        <v>0</v>
      </c>
      <c r="AH42" s="1207">
        <v>0.30000000000000004</v>
      </c>
      <c r="AI42" s="1207">
        <v>0</v>
      </c>
      <c r="AJ42" s="313">
        <v>0</v>
      </c>
      <c r="AK42" s="252">
        <v>0.30000000000000004</v>
      </c>
      <c r="AL42" s="252">
        <v>3.0000000000000004</v>
      </c>
      <c r="AM42" s="694" t="s">
        <v>279</v>
      </c>
      <c r="AN42" s="1202"/>
      <c r="AO42" s="897">
        <v>0</v>
      </c>
      <c r="AP42" s="1207">
        <v>0</v>
      </c>
      <c r="AQ42" s="1207">
        <v>0</v>
      </c>
      <c r="AR42" s="293">
        <v>0</v>
      </c>
      <c r="AS42" s="252">
        <v>0.30000000000000004</v>
      </c>
      <c r="AT42" s="252">
        <v>3.0000000000000004</v>
      </c>
      <c r="AU42" s="694" t="s">
        <v>279</v>
      </c>
      <c r="AV42" s="1202"/>
      <c r="AW42" s="897">
        <v>25</v>
      </c>
      <c r="AX42" s="1208">
        <v>0.8</v>
      </c>
      <c r="AY42" s="1208">
        <v>0.2</v>
      </c>
      <c r="AZ42" s="293">
        <v>2</v>
      </c>
      <c r="BA42" s="252">
        <v>0.5</v>
      </c>
      <c r="BB42" s="252">
        <v>5</v>
      </c>
      <c r="BC42" s="694" t="s">
        <v>279</v>
      </c>
      <c r="BD42" s="1202"/>
      <c r="BE42" s="897">
        <v>18.181818181818183</v>
      </c>
      <c r="BF42" s="252">
        <v>1.1000000000000001</v>
      </c>
      <c r="BG42" s="252">
        <v>0.2</v>
      </c>
      <c r="BH42" s="903">
        <v>2</v>
      </c>
      <c r="BI42" s="252">
        <v>0.5</v>
      </c>
      <c r="BJ42" s="252">
        <v>5</v>
      </c>
      <c r="BK42" s="694" t="s">
        <v>279</v>
      </c>
      <c r="BL42" s="1202"/>
      <c r="BM42" s="897">
        <v>0</v>
      </c>
      <c r="BN42" s="252"/>
      <c r="BO42" s="252">
        <v>0.5</v>
      </c>
      <c r="BP42" s="903">
        <v>5</v>
      </c>
      <c r="BQ42" s="252">
        <v>0.5</v>
      </c>
      <c r="BR42" s="252">
        <v>5</v>
      </c>
      <c r="BS42" s="694" t="s">
        <v>279</v>
      </c>
      <c r="BT42" s="1202"/>
      <c r="BU42" s="897">
        <v>0</v>
      </c>
      <c r="BV42" s="1209">
        <v>0</v>
      </c>
      <c r="BW42" s="1209">
        <v>0</v>
      </c>
      <c r="BX42" s="293">
        <v>0</v>
      </c>
      <c r="BY42" s="252">
        <v>0.5</v>
      </c>
      <c r="BZ42" s="252">
        <v>5</v>
      </c>
      <c r="CA42" s="694" t="s">
        <v>279</v>
      </c>
      <c r="CB42" s="1202"/>
      <c r="CC42" s="897">
        <v>0</v>
      </c>
      <c r="CD42" s="1209">
        <v>0</v>
      </c>
      <c r="CE42" s="1209">
        <v>0</v>
      </c>
      <c r="CF42" s="293">
        <v>0</v>
      </c>
      <c r="CG42" s="899">
        <v>0.5</v>
      </c>
      <c r="CH42" s="252">
        <v>5</v>
      </c>
      <c r="CI42" s="694" t="s">
        <v>279</v>
      </c>
      <c r="CJ42" s="1202"/>
      <c r="CK42" s="897">
        <v>89.999999999999986</v>
      </c>
      <c r="CL42" s="1209">
        <v>3.333333333333334E-2</v>
      </c>
      <c r="CM42" s="1209">
        <v>0.03</v>
      </c>
      <c r="CN42" s="293">
        <v>0.3</v>
      </c>
      <c r="CO42" s="252">
        <v>0.53</v>
      </c>
      <c r="CP42" s="252">
        <v>5.3000000000000007</v>
      </c>
      <c r="CQ42" s="694" t="s">
        <v>279</v>
      </c>
      <c r="CR42" s="1202"/>
      <c r="CS42" s="897">
        <v>89.999999999999986</v>
      </c>
      <c r="CT42" s="252">
        <v>3.333333333333334E-2</v>
      </c>
      <c r="CU42" s="252">
        <v>0.03</v>
      </c>
      <c r="CV42" s="293">
        <v>0.3</v>
      </c>
      <c r="CW42" s="252">
        <v>0.53</v>
      </c>
      <c r="CX42" s="252">
        <v>5.3000000000000007</v>
      </c>
      <c r="CY42" s="694" t="s">
        <v>279</v>
      </c>
      <c r="CZ42" s="1202"/>
      <c r="DA42" s="897">
        <v>1589.9999999999998</v>
      </c>
      <c r="DB42" s="252">
        <v>3.333333333333334E-2</v>
      </c>
      <c r="DC42" s="252">
        <v>0.53</v>
      </c>
      <c r="DD42" s="293">
        <v>5.3000000000000007</v>
      </c>
      <c r="DE42" s="252">
        <v>0.53</v>
      </c>
      <c r="DF42" s="252">
        <v>5.3000000000000007</v>
      </c>
      <c r="DG42" s="694" t="s">
        <v>279</v>
      </c>
      <c r="DH42" s="1202"/>
      <c r="DI42" s="897">
        <v>94.499999999999986</v>
      </c>
      <c r="DJ42" s="1209">
        <v>3.333333333333334E-2</v>
      </c>
      <c r="DK42" s="1209">
        <v>3.15E-2</v>
      </c>
      <c r="DL42" s="293">
        <v>0.315</v>
      </c>
      <c r="DM42" s="252">
        <v>0.5615</v>
      </c>
      <c r="DN42" s="252">
        <v>5.6150000000000002</v>
      </c>
      <c r="DO42" s="694" t="s">
        <v>279</v>
      </c>
      <c r="DP42" s="1202"/>
      <c r="DQ42" s="897">
        <v>0</v>
      </c>
      <c r="DR42" s="1209">
        <v>3.333333333333334E-2</v>
      </c>
      <c r="DS42" s="1209"/>
      <c r="DT42" s="293">
        <v>0</v>
      </c>
      <c r="DU42" s="252">
        <v>0.5615</v>
      </c>
      <c r="DV42" s="252">
        <v>5.6150000000000002</v>
      </c>
      <c r="DW42" s="694" t="s">
        <v>279</v>
      </c>
      <c r="DX42" s="1202"/>
      <c r="DY42" s="897">
        <v>0</v>
      </c>
      <c r="DZ42" s="1209">
        <v>3.333333333333334E-2</v>
      </c>
      <c r="EA42" s="1209"/>
      <c r="EB42" s="293">
        <v>0</v>
      </c>
      <c r="EC42" s="245">
        <v>0.5615</v>
      </c>
      <c r="ED42" s="295">
        <v>5.6150000000000002</v>
      </c>
      <c r="EE42" s="246" t="s">
        <v>279</v>
      </c>
      <c r="EF42" s="323"/>
      <c r="EG42" s="897">
        <v>31.499999999999993</v>
      </c>
      <c r="EH42" s="245">
        <v>0.10000000000000002</v>
      </c>
      <c r="EI42" s="245">
        <v>3.15E-2</v>
      </c>
      <c r="EJ42" s="413">
        <v>0.315</v>
      </c>
      <c r="EK42" s="245">
        <v>0.5615</v>
      </c>
      <c r="EL42" s="295">
        <v>5.6150000000000002</v>
      </c>
      <c r="EM42" s="246" t="s">
        <v>279</v>
      </c>
      <c r="EN42" s="323"/>
      <c r="EO42" s="897">
        <v>46.124999999999986</v>
      </c>
      <c r="EP42" s="245">
        <v>0.13333333333333336</v>
      </c>
      <c r="EQ42" s="245">
        <v>6.1499999999999999E-2</v>
      </c>
      <c r="ER42" s="413">
        <v>0.61499999999999999</v>
      </c>
      <c r="ES42" s="245">
        <v>0.5615</v>
      </c>
      <c r="ET42" s="295">
        <v>5.6150000000000002</v>
      </c>
      <c r="EU42" s="246" t="s">
        <v>279</v>
      </c>
      <c r="EV42" s="323"/>
      <c r="EW42" s="897">
        <v>421.12499999999989</v>
      </c>
      <c r="EX42" s="245">
        <v>0.13333333333333336</v>
      </c>
      <c r="EY42" s="245">
        <v>0.5615</v>
      </c>
      <c r="EZ42" s="413">
        <v>5.6150000000000002</v>
      </c>
      <c r="FA42" s="245">
        <v>0.5615</v>
      </c>
      <c r="FB42" s="295">
        <v>5.6150000000000002</v>
      </c>
      <c r="FC42" s="246" t="s">
        <v>279</v>
      </c>
    </row>
    <row r="43" spans="2:159" ht="34.5" customHeight="1">
      <c r="B43" s="1733"/>
      <c r="C43" s="1829"/>
      <c r="D43" s="192" t="s">
        <v>139</v>
      </c>
      <c r="E43" s="887" t="s">
        <v>73</v>
      </c>
      <c r="F43" s="875">
        <v>500</v>
      </c>
      <c r="G43" s="876">
        <v>70</v>
      </c>
      <c r="H43" s="1198"/>
      <c r="I43" s="1206">
        <v>0</v>
      </c>
      <c r="J43" s="291">
        <v>0</v>
      </c>
      <c r="K43" s="313">
        <v>0</v>
      </c>
      <c r="L43" s="305">
        <v>0</v>
      </c>
      <c r="M43" s="1200"/>
      <c r="N43" s="291">
        <v>130</v>
      </c>
      <c r="O43" s="293">
        <v>108.6</v>
      </c>
      <c r="P43" s="1200"/>
      <c r="Q43" s="291">
        <v>0</v>
      </c>
      <c r="R43" s="313">
        <v>0</v>
      </c>
      <c r="S43" s="293">
        <v>0</v>
      </c>
      <c r="T43" s="1201"/>
      <c r="U43" s="291">
        <v>0</v>
      </c>
      <c r="V43" s="313">
        <v>0</v>
      </c>
      <c r="W43" s="293">
        <v>0</v>
      </c>
      <c r="X43" s="1200"/>
      <c r="Y43" s="291">
        <v>0</v>
      </c>
      <c r="Z43" s="313">
        <v>0</v>
      </c>
      <c r="AA43" s="293">
        <v>0</v>
      </c>
      <c r="AB43" s="1200"/>
      <c r="AC43" s="294">
        <v>0</v>
      </c>
      <c r="AD43" s="252">
        <v>0</v>
      </c>
      <c r="AE43" s="293">
        <v>0</v>
      </c>
      <c r="AF43" s="1202"/>
      <c r="AG43" s="897">
        <v>0</v>
      </c>
      <c r="AH43" s="1207">
        <v>13.574999999999999</v>
      </c>
      <c r="AI43" s="1207">
        <v>0</v>
      </c>
      <c r="AJ43" s="313">
        <v>0</v>
      </c>
      <c r="AK43" s="252">
        <v>0</v>
      </c>
      <c r="AL43" s="252">
        <v>0</v>
      </c>
      <c r="AM43" s="694" t="s">
        <v>279</v>
      </c>
      <c r="AN43" s="1202"/>
      <c r="AO43" s="897">
        <v>0</v>
      </c>
      <c r="AP43" s="1207">
        <v>13.574999999999999</v>
      </c>
      <c r="AQ43" s="1207">
        <v>0</v>
      </c>
      <c r="AR43" s="293">
        <v>0</v>
      </c>
      <c r="AS43" s="252">
        <v>0</v>
      </c>
      <c r="AT43" s="252">
        <v>0</v>
      </c>
      <c r="AU43" s="694" t="s">
        <v>279</v>
      </c>
      <c r="AV43" s="1202"/>
      <c r="AW43" s="897">
        <v>0</v>
      </c>
      <c r="AX43" s="1208">
        <v>13.574999999999999</v>
      </c>
      <c r="AY43" s="1208">
        <v>0</v>
      </c>
      <c r="AZ43" s="293">
        <v>0</v>
      </c>
      <c r="BA43" s="252">
        <v>0</v>
      </c>
      <c r="BB43" s="252">
        <v>0</v>
      </c>
      <c r="BC43" s="694" t="s">
        <v>279</v>
      </c>
      <c r="BD43" s="1202"/>
      <c r="BE43" s="897">
        <v>0</v>
      </c>
      <c r="BF43" s="252">
        <v>40.724999999999994</v>
      </c>
      <c r="BG43" s="252">
        <v>0</v>
      </c>
      <c r="BH43" s="293">
        <v>0</v>
      </c>
      <c r="BI43" s="252">
        <v>0</v>
      </c>
      <c r="BJ43" s="252">
        <v>0</v>
      </c>
      <c r="BK43" s="694" t="s">
        <v>279</v>
      </c>
      <c r="BL43" s="1202"/>
      <c r="BM43" s="897">
        <v>0</v>
      </c>
      <c r="BN43" s="252"/>
      <c r="BO43" s="252">
        <v>0</v>
      </c>
      <c r="BP43" s="293">
        <v>0</v>
      </c>
      <c r="BQ43" s="252">
        <v>0</v>
      </c>
      <c r="BR43" s="252">
        <v>0</v>
      </c>
      <c r="BS43" s="694" t="s">
        <v>279</v>
      </c>
      <c r="BT43" s="1202"/>
      <c r="BU43" s="897">
        <v>0</v>
      </c>
      <c r="BV43" s="1209">
        <v>12.066666666666666</v>
      </c>
      <c r="BW43" s="1209">
        <v>0</v>
      </c>
      <c r="BX43" s="293">
        <v>0</v>
      </c>
      <c r="BY43" s="252">
        <v>0</v>
      </c>
      <c r="BZ43" s="252">
        <v>0</v>
      </c>
      <c r="CA43" s="694" t="s">
        <v>279</v>
      </c>
      <c r="CB43" s="1202"/>
      <c r="CC43" s="897">
        <v>0</v>
      </c>
      <c r="CD43" s="1207">
        <v>12.066666666666666</v>
      </c>
      <c r="CE43" s="1209">
        <v>0</v>
      </c>
      <c r="CF43" s="293">
        <v>0</v>
      </c>
      <c r="CG43" s="899">
        <v>0</v>
      </c>
      <c r="CH43" s="252">
        <v>0</v>
      </c>
      <c r="CI43" s="694" t="s">
        <v>279</v>
      </c>
      <c r="CJ43" s="1202"/>
      <c r="CK43" s="897">
        <v>0</v>
      </c>
      <c r="CL43" s="1209">
        <v>12.066666666666666</v>
      </c>
      <c r="CM43" s="1209">
        <v>0</v>
      </c>
      <c r="CN43" s="293">
        <v>0</v>
      </c>
      <c r="CO43" s="252">
        <v>0</v>
      </c>
      <c r="CP43" s="252">
        <v>0</v>
      </c>
      <c r="CQ43" s="694" t="s">
        <v>279</v>
      </c>
      <c r="CR43" s="1202"/>
      <c r="CS43" s="897">
        <v>0</v>
      </c>
      <c r="CT43" s="252">
        <v>36.200000000000003</v>
      </c>
      <c r="CU43" s="252">
        <v>0</v>
      </c>
      <c r="CV43" s="293">
        <v>0</v>
      </c>
      <c r="CW43" s="252">
        <v>0</v>
      </c>
      <c r="CX43" s="252">
        <v>0</v>
      </c>
      <c r="CY43" s="694" t="s">
        <v>279</v>
      </c>
      <c r="CZ43" s="1202"/>
      <c r="DA43" s="897">
        <v>0</v>
      </c>
      <c r="DB43" s="252">
        <v>36.200000000000003</v>
      </c>
      <c r="DC43" s="252">
        <v>0</v>
      </c>
      <c r="DD43" s="293">
        <v>0</v>
      </c>
      <c r="DE43" s="252">
        <v>0</v>
      </c>
      <c r="DF43" s="252">
        <v>0</v>
      </c>
      <c r="DG43" s="694" t="s">
        <v>279</v>
      </c>
      <c r="DH43" s="1202"/>
      <c r="DI43" s="897">
        <v>0</v>
      </c>
      <c r="DJ43" s="1209">
        <v>12.066666666666666</v>
      </c>
      <c r="DK43" s="1209">
        <v>0</v>
      </c>
      <c r="DL43" s="293">
        <v>0</v>
      </c>
      <c r="DM43" s="252">
        <v>0</v>
      </c>
      <c r="DN43" s="252">
        <v>0</v>
      </c>
      <c r="DO43" s="694" t="s">
        <v>279</v>
      </c>
      <c r="DP43" s="1202"/>
      <c r="DQ43" s="897">
        <v>0</v>
      </c>
      <c r="DR43" s="1209">
        <v>12.066666666666666</v>
      </c>
      <c r="DS43" s="1209"/>
      <c r="DT43" s="293">
        <v>0</v>
      </c>
      <c r="DU43" s="252">
        <v>0</v>
      </c>
      <c r="DV43" s="252">
        <v>0</v>
      </c>
      <c r="DW43" s="694" t="s">
        <v>279</v>
      </c>
      <c r="DX43" s="1202"/>
      <c r="DY43" s="897">
        <v>0</v>
      </c>
      <c r="DZ43" s="1209">
        <v>12.066666666666666</v>
      </c>
      <c r="EA43" s="1209"/>
      <c r="EB43" s="293">
        <v>0</v>
      </c>
      <c r="EC43" s="245">
        <v>0</v>
      </c>
      <c r="ED43" s="295">
        <v>0</v>
      </c>
      <c r="EE43" s="246" t="s">
        <v>279</v>
      </c>
      <c r="EF43" s="323"/>
      <c r="EG43" s="897">
        <v>0</v>
      </c>
      <c r="EH43" s="245">
        <v>36.200000000000003</v>
      </c>
      <c r="EI43" s="245">
        <v>0</v>
      </c>
      <c r="EJ43" s="413">
        <v>0</v>
      </c>
      <c r="EK43" s="245">
        <v>0</v>
      </c>
      <c r="EL43" s="295">
        <v>0</v>
      </c>
      <c r="EM43" s="246" t="s">
        <v>279</v>
      </c>
      <c r="EN43" s="323"/>
      <c r="EO43" s="897">
        <v>0</v>
      </c>
      <c r="EP43" s="245">
        <v>72.400000000000006</v>
      </c>
      <c r="EQ43" s="245">
        <v>0</v>
      </c>
      <c r="ER43" s="413">
        <v>0</v>
      </c>
      <c r="ES43" s="245">
        <v>0</v>
      </c>
      <c r="ET43" s="295">
        <v>0</v>
      </c>
      <c r="EU43" s="246" t="s">
        <v>279</v>
      </c>
      <c r="EV43" s="323"/>
      <c r="EW43" s="897">
        <v>0</v>
      </c>
      <c r="EX43" s="245">
        <v>72.400000000000006</v>
      </c>
      <c r="EY43" s="245">
        <v>0</v>
      </c>
      <c r="EZ43" s="413">
        <v>0</v>
      </c>
      <c r="FA43" s="245">
        <v>0</v>
      </c>
      <c r="FB43" s="295">
        <v>0</v>
      </c>
      <c r="FC43" s="246" t="s">
        <v>279</v>
      </c>
    </row>
    <row r="44" spans="2:159" ht="20.100000000000001" customHeight="1">
      <c r="B44" s="1733"/>
      <c r="C44" s="1829"/>
      <c r="D44" s="191" t="s">
        <v>786</v>
      </c>
      <c r="E44" s="886" t="s">
        <v>188</v>
      </c>
      <c r="F44" s="873">
        <v>27</v>
      </c>
      <c r="G44" s="874">
        <v>10</v>
      </c>
      <c r="H44" s="1198"/>
      <c r="I44" s="1206">
        <v>0</v>
      </c>
      <c r="J44" s="291">
        <v>0</v>
      </c>
      <c r="K44" s="313">
        <v>4.05</v>
      </c>
      <c r="L44" s="305">
        <v>1.5</v>
      </c>
      <c r="M44" s="1200"/>
      <c r="N44" s="291">
        <v>19</v>
      </c>
      <c r="O44" s="293">
        <v>14.95</v>
      </c>
      <c r="P44" s="1200"/>
      <c r="Q44" s="291">
        <v>0</v>
      </c>
      <c r="R44" s="313">
        <v>0</v>
      </c>
      <c r="S44" s="293">
        <v>0</v>
      </c>
      <c r="T44" s="1201"/>
      <c r="U44" s="291">
        <v>0</v>
      </c>
      <c r="V44" s="313">
        <v>0</v>
      </c>
      <c r="W44" s="293">
        <v>0</v>
      </c>
      <c r="X44" s="1200"/>
      <c r="Y44" s="291">
        <v>0</v>
      </c>
      <c r="Z44" s="313">
        <v>0</v>
      </c>
      <c r="AA44" s="293">
        <v>0</v>
      </c>
      <c r="AB44" s="1200"/>
      <c r="AC44" s="294">
        <v>0</v>
      </c>
      <c r="AD44" s="252">
        <v>0</v>
      </c>
      <c r="AE44" s="293">
        <v>0</v>
      </c>
      <c r="AF44" s="1202"/>
      <c r="AG44" s="897">
        <v>0</v>
      </c>
      <c r="AH44" s="1207">
        <v>1.8687499999999999</v>
      </c>
      <c r="AI44" s="1207">
        <v>0</v>
      </c>
      <c r="AJ44" s="313">
        <v>0</v>
      </c>
      <c r="AK44" s="252">
        <v>0</v>
      </c>
      <c r="AL44" s="252">
        <v>0</v>
      </c>
      <c r="AM44" s="694" t="s">
        <v>279</v>
      </c>
      <c r="AN44" s="1202"/>
      <c r="AO44" s="897">
        <v>0</v>
      </c>
      <c r="AP44" s="1207">
        <v>1.8687499999999999</v>
      </c>
      <c r="AQ44" s="1207">
        <v>0</v>
      </c>
      <c r="AR44" s="293">
        <v>0</v>
      </c>
      <c r="AS44" s="252">
        <v>0</v>
      </c>
      <c r="AT44" s="252">
        <v>0</v>
      </c>
      <c r="AU44" s="694" t="s">
        <v>279</v>
      </c>
      <c r="AV44" s="1202"/>
      <c r="AW44" s="897">
        <v>0</v>
      </c>
      <c r="AX44" s="1208">
        <v>1.8687499999999999</v>
      </c>
      <c r="AY44" s="1208">
        <v>0</v>
      </c>
      <c r="AZ44" s="293">
        <v>0</v>
      </c>
      <c r="BA44" s="252">
        <v>0</v>
      </c>
      <c r="BB44" s="252">
        <v>0</v>
      </c>
      <c r="BC44" s="694" t="s">
        <v>279</v>
      </c>
      <c r="BD44" s="1202"/>
      <c r="BE44" s="897">
        <v>0</v>
      </c>
      <c r="BF44" s="252">
        <v>5.6062499999999993</v>
      </c>
      <c r="BG44" s="252">
        <v>0</v>
      </c>
      <c r="BH44" s="293">
        <v>0</v>
      </c>
      <c r="BI44" s="252">
        <v>0</v>
      </c>
      <c r="BJ44" s="252">
        <v>0</v>
      </c>
      <c r="BK44" s="694" t="s">
        <v>279</v>
      </c>
      <c r="BL44" s="1202"/>
      <c r="BM44" s="897">
        <v>0</v>
      </c>
      <c r="BN44" s="252"/>
      <c r="BO44" s="252">
        <v>0</v>
      </c>
      <c r="BP44" s="293">
        <v>0</v>
      </c>
      <c r="BQ44" s="252">
        <v>0</v>
      </c>
      <c r="BR44" s="252">
        <v>0</v>
      </c>
      <c r="BS44" s="694" t="s">
        <v>279</v>
      </c>
      <c r="BT44" s="1202"/>
      <c r="BU44" s="897">
        <v>0</v>
      </c>
      <c r="BV44" s="1209">
        <v>0</v>
      </c>
      <c r="BW44" s="1209">
        <v>0</v>
      </c>
      <c r="BX44" s="293">
        <v>0</v>
      </c>
      <c r="BY44" s="252">
        <v>0</v>
      </c>
      <c r="BZ44" s="252">
        <v>0</v>
      </c>
      <c r="CA44" s="694" t="s">
        <v>279</v>
      </c>
      <c r="CB44" s="1202"/>
      <c r="CC44" s="897">
        <v>0</v>
      </c>
      <c r="CD44" s="1207">
        <v>1.661111111111111</v>
      </c>
      <c r="CE44" s="1209">
        <v>0</v>
      </c>
      <c r="CF44" s="293">
        <v>0</v>
      </c>
      <c r="CG44" s="899">
        <v>0</v>
      </c>
      <c r="CH44" s="252">
        <v>0</v>
      </c>
      <c r="CI44" s="694" t="s">
        <v>279</v>
      </c>
      <c r="CJ44" s="1202"/>
      <c r="CK44" s="897">
        <v>0</v>
      </c>
      <c r="CL44" s="1209">
        <v>1.661111111111111</v>
      </c>
      <c r="CM44" s="1209">
        <v>0</v>
      </c>
      <c r="CN44" s="293">
        <v>0</v>
      </c>
      <c r="CO44" s="252">
        <v>0</v>
      </c>
      <c r="CP44" s="252">
        <v>0</v>
      </c>
      <c r="CQ44" s="694" t="s">
        <v>279</v>
      </c>
      <c r="CR44" s="1202"/>
      <c r="CS44" s="897">
        <v>0</v>
      </c>
      <c r="CT44" s="252">
        <v>3.322222222222222</v>
      </c>
      <c r="CU44" s="252">
        <v>0</v>
      </c>
      <c r="CV44" s="293">
        <v>0</v>
      </c>
      <c r="CW44" s="252">
        <v>0</v>
      </c>
      <c r="CX44" s="252">
        <v>0</v>
      </c>
      <c r="CY44" s="694" t="s">
        <v>279</v>
      </c>
      <c r="CZ44" s="1202"/>
      <c r="DA44" s="897">
        <v>0</v>
      </c>
      <c r="DB44" s="252">
        <v>3.322222222222222</v>
      </c>
      <c r="DC44" s="252">
        <v>0</v>
      </c>
      <c r="DD44" s="293">
        <v>0</v>
      </c>
      <c r="DE44" s="252">
        <v>0</v>
      </c>
      <c r="DF44" s="252">
        <v>0</v>
      </c>
      <c r="DG44" s="694" t="s">
        <v>279</v>
      </c>
      <c r="DH44" s="1202"/>
      <c r="DI44" s="897">
        <v>0</v>
      </c>
      <c r="DJ44" s="1209">
        <v>1.661111111111111</v>
      </c>
      <c r="DK44" s="1209">
        <v>0</v>
      </c>
      <c r="DL44" s="293">
        <v>0</v>
      </c>
      <c r="DM44" s="252">
        <v>0</v>
      </c>
      <c r="DN44" s="252">
        <v>0</v>
      </c>
      <c r="DO44" s="694" t="s">
        <v>279</v>
      </c>
      <c r="DP44" s="1202"/>
      <c r="DQ44" s="897">
        <v>0</v>
      </c>
      <c r="DR44" s="1209">
        <v>1.661111111111111</v>
      </c>
      <c r="DS44" s="1209"/>
      <c r="DT44" s="293">
        <v>0</v>
      </c>
      <c r="DU44" s="252">
        <v>0</v>
      </c>
      <c r="DV44" s="252">
        <v>0</v>
      </c>
      <c r="DW44" s="694" t="s">
        <v>279</v>
      </c>
      <c r="DX44" s="1202"/>
      <c r="DY44" s="897">
        <v>0</v>
      </c>
      <c r="DZ44" s="1209">
        <v>1.661111111111111</v>
      </c>
      <c r="EA44" s="1209"/>
      <c r="EB44" s="293">
        <v>0</v>
      </c>
      <c r="EC44" s="245">
        <v>0</v>
      </c>
      <c r="ED44" s="295">
        <v>0</v>
      </c>
      <c r="EE44" s="246" t="s">
        <v>279</v>
      </c>
      <c r="EF44" s="323"/>
      <c r="EG44" s="897">
        <v>0</v>
      </c>
      <c r="EH44" s="245">
        <v>4.9833333333333325</v>
      </c>
      <c r="EI44" s="245">
        <v>0</v>
      </c>
      <c r="EJ44" s="413">
        <v>0</v>
      </c>
      <c r="EK44" s="245">
        <v>0</v>
      </c>
      <c r="EL44" s="295">
        <v>0</v>
      </c>
      <c r="EM44" s="246" t="s">
        <v>279</v>
      </c>
      <c r="EN44" s="323"/>
      <c r="EO44" s="897">
        <v>0</v>
      </c>
      <c r="EP44" s="245">
        <v>8.3055555555555536</v>
      </c>
      <c r="EQ44" s="245">
        <v>0</v>
      </c>
      <c r="ER44" s="413">
        <v>0</v>
      </c>
      <c r="ES44" s="245">
        <v>0</v>
      </c>
      <c r="ET44" s="295">
        <v>0</v>
      </c>
      <c r="EU44" s="246" t="s">
        <v>279</v>
      </c>
      <c r="EV44" s="323"/>
      <c r="EW44" s="897">
        <v>0</v>
      </c>
      <c r="EX44" s="245">
        <v>8.3055555555555536</v>
      </c>
      <c r="EY44" s="245">
        <v>0</v>
      </c>
      <c r="EZ44" s="413">
        <v>0</v>
      </c>
      <c r="FA44" s="245">
        <v>0</v>
      </c>
      <c r="FB44" s="295">
        <v>0</v>
      </c>
      <c r="FC44" s="246" t="s">
        <v>279</v>
      </c>
    </row>
    <row r="45" spans="2:159" ht="20.100000000000001" customHeight="1" thickBot="1">
      <c r="B45" s="1749"/>
      <c r="C45" s="1830"/>
      <c r="D45" s="193" t="s">
        <v>75</v>
      </c>
      <c r="E45" s="889"/>
      <c r="F45" s="877" t="s">
        <v>4</v>
      </c>
      <c r="G45" s="877">
        <v>100</v>
      </c>
      <c r="H45" s="1198"/>
      <c r="I45" s="1218">
        <v>10</v>
      </c>
      <c r="J45" s="298"/>
      <c r="K45" s="307"/>
      <c r="L45" s="299">
        <v>8.5</v>
      </c>
      <c r="M45" s="1200"/>
      <c r="N45" s="296"/>
      <c r="O45" s="297"/>
      <c r="P45" s="1200"/>
      <c r="Q45" s="298"/>
      <c r="R45" s="300" t="s">
        <v>4</v>
      </c>
      <c r="S45" s="299">
        <v>13</v>
      </c>
      <c r="T45" s="1201"/>
      <c r="U45" s="298"/>
      <c r="V45" s="300" t="s">
        <v>4</v>
      </c>
      <c r="W45" s="299">
        <v>13</v>
      </c>
      <c r="X45" s="1200"/>
      <c r="Y45" s="298"/>
      <c r="Z45" s="300" t="s">
        <v>4</v>
      </c>
      <c r="AA45" s="299">
        <v>13</v>
      </c>
      <c r="AB45" s="1200"/>
      <c r="AC45" s="301"/>
      <c r="AD45" s="265" t="s">
        <v>4</v>
      </c>
      <c r="AE45" s="259">
        <v>13</v>
      </c>
      <c r="AF45" s="1202"/>
      <c r="AG45" s="904"/>
      <c r="AH45" s="905"/>
      <c r="AI45" s="905"/>
      <c r="AJ45" s="265">
        <v>0</v>
      </c>
      <c r="AK45" s="909"/>
      <c r="AL45" s="265">
        <v>13</v>
      </c>
      <c r="AM45" s="259"/>
      <c r="AN45" s="1202"/>
      <c r="AO45" s="904"/>
      <c r="AP45" s="905"/>
      <c r="AQ45" s="905"/>
      <c r="AR45" s="265">
        <v>0</v>
      </c>
      <c r="AS45" s="909"/>
      <c r="AT45" s="265">
        <v>13</v>
      </c>
      <c r="AU45" s="259"/>
      <c r="AV45" s="1202"/>
      <c r="AW45" s="904"/>
      <c r="AX45" s="905"/>
      <c r="AY45" s="905"/>
      <c r="AZ45" s="265">
        <v>3.5</v>
      </c>
      <c r="BA45" s="909"/>
      <c r="BB45" s="265">
        <v>16.5</v>
      </c>
      <c r="BC45" s="259"/>
      <c r="BD45" s="1202"/>
      <c r="BE45" s="904"/>
      <c r="BF45" s="906"/>
      <c r="BG45" s="906"/>
      <c r="BH45" s="265">
        <v>3.5</v>
      </c>
      <c r="BI45" s="909"/>
      <c r="BJ45" s="265">
        <v>16.5</v>
      </c>
      <c r="BK45" s="259"/>
      <c r="BL45" s="1202"/>
      <c r="BM45" s="904"/>
      <c r="BN45" s="906"/>
      <c r="BO45" s="906"/>
      <c r="BP45" s="265">
        <v>16.5</v>
      </c>
      <c r="BQ45" s="909"/>
      <c r="BR45" s="265">
        <v>16.5</v>
      </c>
      <c r="BS45" s="259"/>
      <c r="BT45" s="1202"/>
      <c r="BU45" s="904"/>
      <c r="BV45" s="906"/>
      <c r="BW45" s="906"/>
      <c r="BX45" s="265">
        <v>0</v>
      </c>
      <c r="BY45" s="909"/>
      <c r="BZ45" s="265">
        <v>16.5</v>
      </c>
      <c r="CA45" s="259"/>
      <c r="CB45" s="1202"/>
      <c r="CC45" s="904"/>
      <c r="CD45" s="906"/>
      <c r="CE45" s="906"/>
      <c r="CF45" s="259">
        <v>0</v>
      </c>
      <c r="CG45" s="910"/>
      <c r="CH45" s="265">
        <v>16.5</v>
      </c>
      <c r="CI45" s="259"/>
      <c r="CJ45" s="1202"/>
      <c r="CK45" s="904"/>
      <c r="CL45" s="906"/>
      <c r="CM45" s="906"/>
      <c r="CN45" s="265">
        <v>1.4000000000000001</v>
      </c>
      <c r="CO45" s="909"/>
      <c r="CP45" s="265">
        <v>17.899999999999999</v>
      </c>
      <c r="CQ45" s="259"/>
      <c r="CR45" s="1202"/>
      <c r="CS45" s="904"/>
      <c r="CT45" s="906"/>
      <c r="CU45" s="906"/>
      <c r="CV45" s="265">
        <v>1.4000000000000001</v>
      </c>
      <c r="CW45" s="909"/>
      <c r="CX45" s="265">
        <v>17.899999999999999</v>
      </c>
      <c r="CY45" s="259"/>
      <c r="CZ45" s="1202"/>
      <c r="DA45" s="904"/>
      <c r="DB45" s="906"/>
      <c r="DC45" s="906"/>
      <c r="DD45" s="265">
        <v>17.899999999999999</v>
      </c>
      <c r="DE45" s="909"/>
      <c r="DF45" s="265">
        <v>17.899999999999999</v>
      </c>
      <c r="DG45" s="259"/>
      <c r="DH45" s="1202"/>
      <c r="DI45" s="904"/>
      <c r="DJ45" s="906"/>
      <c r="DK45" s="906"/>
      <c r="DL45" s="265">
        <v>1.47</v>
      </c>
      <c r="DM45" s="909"/>
      <c r="DN45" s="265">
        <v>19.369999999999997</v>
      </c>
      <c r="DO45" s="259"/>
      <c r="DP45" s="1202"/>
      <c r="DQ45" s="904"/>
      <c r="DR45" s="906"/>
      <c r="DS45" s="906"/>
      <c r="DT45" s="265">
        <v>0</v>
      </c>
      <c r="DU45" s="909"/>
      <c r="DV45" s="265">
        <v>19.369999999999997</v>
      </c>
      <c r="DW45" s="259"/>
      <c r="DX45" s="1202"/>
      <c r="DY45" s="904"/>
      <c r="DZ45" s="906"/>
      <c r="EA45" s="906"/>
      <c r="EB45" s="265">
        <v>0</v>
      </c>
      <c r="EC45" s="261"/>
      <c r="ED45" s="260">
        <v>19.369999999999997</v>
      </c>
      <c r="EE45" s="259"/>
      <c r="EF45" s="323"/>
      <c r="EG45" s="904"/>
      <c r="EH45" s="302"/>
      <c r="EI45" s="302"/>
      <c r="EJ45" s="265">
        <v>1.47</v>
      </c>
      <c r="EK45" s="261"/>
      <c r="EL45" s="260">
        <v>19.369999999999997</v>
      </c>
      <c r="EM45" s="259"/>
      <c r="EN45" s="323"/>
      <c r="EO45" s="904"/>
      <c r="EP45" s="302"/>
      <c r="EQ45" s="302"/>
      <c r="ER45" s="265">
        <v>2.87</v>
      </c>
      <c r="ES45" s="261"/>
      <c r="ET45" s="260">
        <v>19.369999999999997</v>
      </c>
      <c r="EU45" s="259"/>
      <c r="EV45" s="323"/>
      <c r="EW45" s="904"/>
      <c r="EX45" s="302"/>
      <c r="EY45" s="302"/>
      <c r="EZ45" s="265">
        <v>19.369999999999997</v>
      </c>
      <c r="FA45" s="261"/>
      <c r="FB45" s="260">
        <v>19.369999999999997</v>
      </c>
      <c r="FC45" s="259"/>
    </row>
    <row r="46" spans="2:159" ht="20.100000000000001" customHeight="1">
      <c r="B46" s="1732" t="s">
        <v>30</v>
      </c>
      <c r="C46" s="1818" t="s">
        <v>60</v>
      </c>
      <c r="D46" s="196" t="s">
        <v>218</v>
      </c>
      <c r="E46" s="885" t="s">
        <v>11</v>
      </c>
      <c r="F46" s="872">
        <v>4</v>
      </c>
      <c r="G46" s="872">
        <v>10</v>
      </c>
      <c r="H46" s="1198"/>
      <c r="I46" s="1206">
        <v>7.5</v>
      </c>
      <c r="J46" s="287">
        <v>3</v>
      </c>
      <c r="K46" s="450">
        <v>4</v>
      </c>
      <c r="L46" s="288">
        <v>10</v>
      </c>
      <c r="M46" s="1200"/>
      <c r="N46" s="287">
        <v>0</v>
      </c>
      <c r="O46" s="288">
        <v>0</v>
      </c>
      <c r="P46" s="1200"/>
      <c r="Q46" s="287">
        <v>2.5</v>
      </c>
      <c r="R46" s="450">
        <v>0</v>
      </c>
      <c r="S46" s="288">
        <v>0</v>
      </c>
      <c r="T46" s="1201"/>
      <c r="U46" s="287">
        <v>5</v>
      </c>
      <c r="V46" s="450">
        <v>0</v>
      </c>
      <c r="W46" s="293">
        <v>0</v>
      </c>
      <c r="X46" s="1200"/>
      <c r="Y46" s="287">
        <v>5</v>
      </c>
      <c r="Z46" s="450">
        <v>0</v>
      </c>
      <c r="AA46" s="293">
        <v>0</v>
      </c>
      <c r="AB46" s="1200"/>
      <c r="AC46" s="294">
        <v>4.166666666666667</v>
      </c>
      <c r="AD46" s="252">
        <v>0</v>
      </c>
      <c r="AE46" s="293">
        <v>0</v>
      </c>
      <c r="AF46" s="1202"/>
      <c r="AG46" s="897">
        <v>0</v>
      </c>
      <c r="AH46" s="1207">
        <v>0</v>
      </c>
      <c r="AI46" s="1207">
        <v>0</v>
      </c>
      <c r="AJ46" s="313">
        <v>0</v>
      </c>
      <c r="AK46" s="252">
        <v>0</v>
      </c>
      <c r="AL46" s="252">
        <v>0</v>
      </c>
      <c r="AM46" s="694" t="s">
        <v>279</v>
      </c>
      <c r="AN46" s="1202"/>
      <c r="AO46" s="897">
        <v>0</v>
      </c>
      <c r="AP46" s="1207">
        <v>0</v>
      </c>
      <c r="AQ46" s="1207">
        <v>0</v>
      </c>
      <c r="AR46" s="293">
        <v>0</v>
      </c>
      <c r="AS46" s="252">
        <v>0</v>
      </c>
      <c r="AT46" s="252">
        <v>0</v>
      </c>
      <c r="AU46" s="694" t="s">
        <v>279</v>
      </c>
      <c r="AV46" s="1202"/>
      <c r="AW46" s="897">
        <v>0</v>
      </c>
      <c r="AX46" s="1208">
        <v>0</v>
      </c>
      <c r="AY46" s="1208">
        <v>0</v>
      </c>
      <c r="AZ46" s="293">
        <v>0</v>
      </c>
      <c r="BA46" s="252">
        <v>0</v>
      </c>
      <c r="BB46" s="252">
        <v>0</v>
      </c>
      <c r="BC46" s="694" t="s">
        <v>279</v>
      </c>
      <c r="BD46" s="1202"/>
      <c r="BE46" s="897">
        <v>0</v>
      </c>
      <c r="BF46" s="252">
        <v>0</v>
      </c>
      <c r="BG46" s="252">
        <v>0</v>
      </c>
      <c r="BH46" s="293">
        <v>0</v>
      </c>
      <c r="BI46" s="252">
        <v>0</v>
      </c>
      <c r="BJ46" s="252">
        <v>0</v>
      </c>
      <c r="BK46" s="694" t="s">
        <v>279</v>
      </c>
      <c r="BL46" s="1202"/>
      <c r="BM46" s="897">
        <v>0</v>
      </c>
      <c r="BN46" s="252"/>
      <c r="BO46" s="252">
        <v>0</v>
      </c>
      <c r="BP46" s="293">
        <v>0</v>
      </c>
      <c r="BQ46" s="252">
        <v>0</v>
      </c>
      <c r="BR46" s="252">
        <v>0</v>
      </c>
      <c r="BS46" s="694" t="s">
        <v>279</v>
      </c>
      <c r="BT46" s="1202"/>
      <c r="BU46" s="897">
        <v>0</v>
      </c>
      <c r="BV46" s="1209">
        <v>0</v>
      </c>
      <c r="BW46" s="1209">
        <v>0</v>
      </c>
      <c r="BX46" s="293">
        <v>0</v>
      </c>
      <c r="BY46" s="252">
        <v>0</v>
      </c>
      <c r="BZ46" s="252">
        <v>0</v>
      </c>
      <c r="CA46" s="694" t="s">
        <v>279</v>
      </c>
      <c r="CB46" s="1202"/>
      <c r="CC46" s="897">
        <v>0</v>
      </c>
      <c r="CD46" s="1209">
        <v>0</v>
      </c>
      <c r="CE46" s="1209">
        <v>0</v>
      </c>
      <c r="CF46" s="293">
        <v>0</v>
      </c>
      <c r="CG46" s="899">
        <v>0</v>
      </c>
      <c r="CH46" s="252">
        <v>0</v>
      </c>
      <c r="CI46" s="694" t="s">
        <v>279</v>
      </c>
      <c r="CJ46" s="1202"/>
      <c r="CK46" s="897">
        <v>0</v>
      </c>
      <c r="CL46" s="1209">
        <v>0</v>
      </c>
      <c r="CM46" s="1209">
        <v>0</v>
      </c>
      <c r="CN46" s="293">
        <v>0</v>
      </c>
      <c r="CO46" s="252">
        <v>0</v>
      </c>
      <c r="CP46" s="252">
        <v>0</v>
      </c>
      <c r="CQ46" s="694" t="s">
        <v>279</v>
      </c>
      <c r="CR46" s="1202"/>
      <c r="CS46" s="897">
        <v>0</v>
      </c>
      <c r="CT46" s="252">
        <v>0</v>
      </c>
      <c r="CU46" s="252">
        <v>0</v>
      </c>
      <c r="CV46" s="293">
        <v>0</v>
      </c>
      <c r="CW46" s="252">
        <v>0</v>
      </c>
      <c r="CX46" s="252">
        <v>0</v>
      </c>
      <c r="CY46" s="694" t="s">
        <v>279</v>
      </c>
      <c r="CZ46" s="1202"/>
      <c r="DA46" s="897">
        <v>0</v>
      </c>
      <c r="DB46" s="252">
        <v>0</v>
      </c>
      <c r="DC46" s="252">
        <v>0</v>
      </c>
      <c r="DD46" s="293">
        <v>0</v>
      </c>
      <c r="DE46" s="252">
        <v>0</v>
      </c>
      <c r="DF46" s="252">
        <v>0</v>
      </c>
      <c r="DG46" s="694" t="s">
        <v>279</v>
      </c>
      <c r="DH46" s="1202"/>
      <c r="DI46" s="897">
        <v>0</v>
      </c>
      <c r="DJ46" s="1209">
        <v>0</v>
      </c>
      <c r="DK46" s="1209">
        <v>0</v>
      </c>
      <c r="DL46" s="293">
        <v>0</v>
      </c>
      <c r="DM46" s="252">
        <v>0</v>
      </c>
      <c r="DN46" s="252">
        <v>0</v>
      </c>
      <c r="DO46" s="694" t="s">
        <v>279</v>
      </c>
      <c r="DP46" s="1202"/>
      <c r="DQ46" s="897">
        <v>0</v>
      </c>
      <c r="DR46" s="1209">
        <v>0</v>
      </c>
      <c r="DS46" s="1209"/>
      <c r="DT46" s="293">
        <v>0</v>
      </c>
      <c r="DU46" s="252">
        <v>0</v>
      </c>
      <c r="DV46" s="252">
        <v>0</v>
      </c>
      <c r="DW46" s="694" t="s">
        <v>279</v>
      </c>
      <c r="DX46" s="1202"/>
      <c r="DY46" s="897">
        <v>0</v>
      </c>
      <c r="DZ46" s="1209">
        <v>0</v>
      </c>
      <c r="EA46" s="1209"/>
      <c r="EB46" s="293">
        <v>0</v>
      </c>
      <c r="EC46" s="245">
        <v>0</v>
      </c>
      <c r="ED46" s="295">
        <v>0</v>
      </c>
      <c r="EE46" s="246" t="s">
        <v>279</v>
      </c>
      <c r="EF46" s="323"/>
      <c r="EG46" s="897">
        <v>0</v>
      </c>
      <c r="EH46" s="245">
        <v>0</v>
      </c>
      <c r="EI46" s="245">
        <v>0</v>
      </c>
      <c r="EJ46" s="413">
        <v>0</v>
      </c>
      <c r="EK46" s="245">
        <v>0</v>
      </c>
      <c r="EL46" s="295">
        <v>0</v>
      </c>
      <c r="EM46" s="246" t="s">
        <v>279</v>
      </c>
      <c r="EN46" s="323"/>
      <c r="EO46" s="897">
        <v>0</v>
      </c>
      <c r="EP46" s="245">
        <v>0</v>
      </c>
      <c r="EQ46" s="245">
        <v>0</v>
      </c>
      <c r="ER46" s="413">
        <v>0</v>
      </c>
      <c r="ES46" s="245">
        <v>0</v>
      </c>
      <c r="ET46" s="295">
        <v>0</v>
      </c>
      <c r="EU46" s="246" t="s">
        <v>279</v>
      </c>
      <c r="EV46" s="323"/>
      <c r="EW46" s="897">
        <v>0</v>
      </c>
      <c r="EX46" s="245">
        <v>0</v>
      </c>
      <c r="EY46" s="245">
        <v>0</v>
      </c>
      <c r="EZ46" s="413">
        <v>0</v>
      </c>
      <c r="FA46" s="245">
        <v>0</v>
      </c>
      <c r="FB46" s="295">
        <v>0</v>
      </c>
      <c r="FC46" s="246" t="s">
        <v>279</v>
      </c>
    </row>
    <row r="47" spans="2:159" ht="20.100000000000001" customHeight="1">
      <c r="B47" s="1733"/>
      <c r="C47" s="1819"/>
      <c r="D47" s="191" t="s">
        <v>10</v>
      </c>
      <c r="E47" s="886" t="s">
        <v>11</v>
      </c>
      <c r="F47" s="873">
        <v>1</v>
      </c>
      <c r="G47" s="874">
        <v>35</v>
      </c>
      <c r="H47" s="1198"/>
      <c r="I47" s="1206">
        <v>12.5</v>
      </c>
      <c r="J47" s="291">
        <v>1</v>
      </c>
      <c r="K47" s="313">
        <v>0.2857142857142857</v>
      </c>
      <c r="L47" s="305">
        <v>10</v>
      </c>
      <c r="M47" s="1200"/>
      <c r="N47" s="291">
        <v>0</v>
      </c>
      <c r="O47" s="293">
        <v>0.7142857142857143</v>
      </c>
      <c r="P47" s="1200"/>
      <c r="Q47" s="291">
        <v>5</v>
      </c>
      <c r="R47" s="313">
        <v>3.5714285714285719E-2</v>
      </c>
      <c r="S47" s="293">
        <v>1.2500000000000002</v>
      </c>
      <c r="T47" s="1201"/>
      <c r="U47" s="291">
        <v>7.5</v>
      </c>
      <c r="V47" s="313">
        <v>5.3571428571428575E-2</v>
      </c>
      <c r="W47" s="293">
        <v>1.8750000000000002</v>
      </c>
      <c r="X47" s="1200"/>
      <c r="Y47" s="291">
        <v>7.5</v>
      </c>
      <c r="Z47" s="313">
        <v>5.3571428571428575E-2</v>
      </c>
      <c r="AA47" s="293">
        <v>1.8750000000000002</v>
      </c>
      <c r="AB47" s="1200"/>
      <c r="AC47" s="294">
        <v>6.666666666666667</v>
      </c>
      <c r="AD47" s="252">
        <v>4.7619047619047616E-2</v>
      </c>
      <c r="AE47" s="293">
        <v>1.6666666666666665</v>
      </c>
      <c r="AF47" s="1202"/>
      <c r="AG47" s="897">
        <v>1848</v>
      </c>
      <c r="AH47" s="1207">
        <v>5.9523809523809527E-2</v>
      </c>
      <c r="AI47" s="1207">
        <v>1.1000000000000001</v>
      </c>
      <c r="AJ47" s="313">
        <v>38.5</v>
      </c>
      <c r="AK47" s="252">
        <v>1.1476190476190478</v>
      </c>
      <c r="AL47" s="252">
        <v>40.166666666666671</v>
      </c>
      <c r="AM47" s="694" t="s">
        <v>279</v>
      </c>
      <c r="AN47" s="1202"/>
      <c r="AO47" s="897">
        <v>0</v>
      </c>
      <c r="AP47" s="1207">
        <v>5.9523809523809527E-2</v>
      </c>
      <c r="AQ47" s="1207">
        <v>0</v>
      </c>
      <c r="AR47" s="293">
        <v>0</v>
      </c>
      <c r="AS47" s="252">
        <v>1.1476190476190478</v>
      </c>
      <c r="AT47" s="252">
        <v>40.166666666666671</v>
      </c>
      <c r="AU47" s="694" t="s">
        <v>279</v>
      </c>
      <c r="AV47" s="1202"/>
      <c r="AW47" s="897">
        <v>0</v>
      </c>
      <c r="AX47" s="1207">
        <v>5.9523809523809527E-2</v>
      </c>
      <c r="AY47" s="1208">
        <v>0</v>
      </c>
      <c r="AZ47" s="293">
        <v>0</v>
      </c>
      <c r="BA47" s="252">
        <v>1.1476190476190478</v>
      </c>
      <c r="BB47" s="252">
        <v>40.166666666666671</v>
      </c>
      <c r="BC47" s="694" t="s">
        <v>279</v>
      </c>
      <c r="BD47" s="1202"/>
      <c r="BE47" s="897">
        <v>616</v>
      </c>
      <c r="BF47" s="252">
        <v>0.17857142857142858</v>
      </c>
      <c r="BG47" s="252">
        <v>1.1000000000000001</v>
      </c>
      <c r="BH47" s="903">
        <v>38.5</v>
      </c>
      <c r="BI47" s="252">
        <v>1.1476190476190478</v>
      </c>
      <c r="BJ47" s="252">
        <v>40.166666666666671</v>
      </c>
      <c r="BK47" s="694" t="s">
        <v>279</v>
      </c>
      <c r="BL47" s="1202"/>
      <c r="BM47" s="897">
        <v>0</v>
      </c>
      <c r="BN47" s="252"/>
      <c r="BO47" s="252">
        <v>1.1476190476190478</v>
      </c>
      <c r="BP47" s="903">
        <v>40.166666666666671</v>
      </c>
      <c r="BQ47" s="252">
        <v>1.1476190476190478</v>
      </c>
      <c r="BR47" s="252">
        <v>40.166666666666671</v>
      </c>
      <c r="BS47" s="694" t="s">
        <v>279</v>
      </c>
      <c r="BT47" s="1202"/>
      <c r="BU47" s="897">
        <v>0</v>
      </c>
      <c r="BV47" s="1207">
        <v>0</v>
      </c>
      <c r="BW47" s="1209">
        <v>0</v>
      </c>
      <c r="BX47" s="293">
        <v>0</v>
      </c>
      <c r="BY47" s="252">
        <v>1.1476190476190478</v>
      </c>
      <c r="BZ47" s="252">
        <v>40.166666666666671</v>
      </c>
      <c r="CA47" s="694" t="s">
        <v>279</v>
      </c>
      <c r="CB47" s="1202"/>
      <c r="CC47" s="897">
        <v>0</v>
      </c>
      <c r="CD47" s="1209">
        <v>0</v>
      </c>
      <c r="CE47" s="1209">
        <v>0</v>
      </c>
      <c r="CF47" s="293">
        <v>0</v>
      </c>
      <c r="CG47" s="899">
        <v>1.1476190476190478</v>
      </c>
      <c r="CH47" s="252">
        <v>40.166666666666671</v>
      </c>
      <c r="CI47" s="694" t="s">
        <v>279</v>
      </c>
      <c r="CJ47" s="1202"/>
      <c r="CK47" s="897">
        <v>100.8</v>
      </c>
      <c r="CL47" s="1209">
        <v>7.9365079365079361E-2</v>
      </c>
      <c r="CM47" s="1209">
        <v>0.08</v>
      </c>
      <c r="CN47" s="293">
        <v>2.8000000000000003</v>
      </c>
      <c r="CO47" s="252">
        <v>1.2276190476190478</v>
      </c>
      <c r="CP47" s="252">
        <v>42.966666666666676</v>
      </c>
      <c r="CQ47" s="694" t="s">
        <v>279</v>
      </c>
      <c r="CR47" s="1202"/>
      <c r="CS47" s="897">
        <v>100.8</v>
      </c>
      <c r="CT47" s="252">
        <v>7.9365079365079361E-2</v>
      </c>
      <c r="CU47" s="252">
        <v>0.08</v>
      </c>
      <c r="CV47" s="293">
        <v>2.8000000000000003</v>
      </c>
      <c r="CW47" s="252">
        <v>1.2276190476190478</v>
      </c>
      <c r="CX47" s="252">
        <v>42.966666666666676</v>
      </c>
      <c r="CY47" s="694" t="s">
        <v>279</v>
      </c>
      <c r="CZ47" s="1202"/>
      <c r="DA47" s="897">
        <v>1546.8000000000004</v>
      </c>
      <c r="DB47" s="252">
        <v>7.9365079365079361E-2</v>
      </c>
      <c r="DC47" s="252">
        <v>1.2276190476190478</v>
      </c>
      <c r="DD47" s="293">
        <v>42.966666666666676</v>
      </c>
      <c r="DE47" s="252">
        <v>1.2276190476190478</v>
      </c>
      <c r="DF47" s="252">
        <v>42.966666666666676</v>
      </c>
      <c r="DG47" s="694" t="s">
        <v>279</v>
      </c>
      <c r="DH47" s="1202"/>
      <c r="DI47" s="897">
        <v>105.84000000000002</v>
      </c>
      <c r="DJ47" s="1209">
        <v>7.9365079365079361E-2</v>
      </c>
      <c r="DK47" s="1209">
        <v>8.4000000000000005E-2</v>
      </c>
      <c r="DL47" s="293">
        <v>2.9400000000000004</v>
      </c>
      <c r="DM47" s="252">
        <v>1.3116190476190479</v>
      </c>
      <c r="DN47" s="252">
        <v>45.906666666666673</v>
      </c>
      <c r="DO47" s="694" t="s">
        <v>279</v>
      </c>
      <c r="DP47" s="1202"/>
      <c r="DQ47" s="897">
        <v>0</v>
      </c>
      <c r="DR47" s="1209">
        <v>7.9365079365079361E-2</v>
      </c>
      <c r="DS47" s="1209"/>
      <c r="DT47" s="293">
        <v>0</v>
      </c>
      <c r="DU47" s="252">
        <v>1.3116190476190479</v>
      </c>
      <c r="DV47" s="252">
        <v>45.906666666666673</v>
      </c>
      <c r="DW47" s="694" t="s">
        <v>279</v>
      </c>
      <c r="DX47" s="1202"/>
      <c r="DY47" s="897">
        <v>0</v>
      </c>
      <c r="DZ47" s="1209">
        <v>7.9365079365079361E-2</v>
      </c>
      <c r="EA47" s="1209"/>
      <c r="EB47" s="293">
        <v>0</v>
      </c>
      <c r="EC47" s="245">
        <v>1.3116190476190479</v>
      </c>
      <c r="ED47" s="295">
        <v>45.906666666666673</v>
      </c>
      <c r="EE47" s="246" t="s">
        <v>279</v>
      </c>
      <c r="EF47" s="323"/>
      <c r="EG47" s="897">
        <v>35.280000000000008</v>
      </c>
      <c r="EH47" s="245">
        <v>0.23809523809523808</v>
      </c>
      <c r="EI47" s="245">
        <v>8.4000000000000005E-2</v>
      </c>
      <c r="EJ47" s="413">
        <v>2.9400000000000004</v>
      </c>
      <c r="EK47" s="245">
        <v>1.3116190476190479</v>
      </c>
      <c r="EL47" s="295">
        <v>45.906666666666673</v>
      </c>
      <c r="EM47" s="246" t="s">
        <v>279</v>
      </c>
      <c r="EN47" s="323"/>
      <c r="EO47" s="897">
        <v>51.660000000000004</v>
      </c>
      <c r="EP47" s="245">
        <v>0.31746031746031744</v>
      </c>
      <c r="EQ47" s="245">
        <v>0.16400000000000001</v>
      </c>
      <c r="ER47" s="413">
        <v>5.74</v>
      </c>
      <c r="ES47" s="245">
        <v>1.3116190476190479</v>
      </c>
      <c r="ET47" s="295">
        <v>45.906666666666673</v>
      </c>
      <c r="EU47" s="246" t="s">
        <v>279</v>
      </c>
      <c r="EV47" s="323"/>
      <c r="EW47" s="897">
        <v>413.16000000000008</v>
      </c>
      <c r="EX47" s="245">
        <v>0.31746031746031744</v>
      </c>
      <c r="EY47" s="245">
        <v>1.3116190476190477</v>
      </c>
      <c r="EZ47" s="413">
        <v>45.906666666666666</v>
      </c>
      <c r="FA47" s="245">
        <v>1.3116190476190479</v>
      </c>
      <c r="FB47" s="295">
        <v>45.906666666666673</v>
      </c>
      <c r="FC47" s="246" t="s">
        <v>279</v>
      </c>
    </row>
    <row r="48" spans="2:159" ht="20.100000000000001" customHeight="1">
      <c r="B48" s="1733"/>
      <c r="C48" s="1819"/>
      <c r="D48" s="191" t="s">
        <v>154</v>
      </c>
      <c r="E48" s="886" t="s">
        <v>11</v>
      </c>
      <c r="F48" s="873">
        <v>1</v>
      </c>
      <c r="G48" s="874">
        <v>10</v>
      </c>
      <c r="H48" s="1198"/>
      <c r="I48" s="1206">
        <v>6.33</v>
      </c>
      <c r="J48" s="291">
        <v>1</v>
      </c>
      <c r="K48" s="313">
        <v>0.63</v>
      </c>
      <c r="L48" s="305">
        <v>6.3</v>
      </c>
      <c r="M48" s="1200"/>
      <c r="N48" s="291">
        <v>0</v>
      </c>
      <c r="O48" s="293">
        <v>0.37</v>
      </c>
      <c r="P48" s="1200"/>
      <c r="Q48" s="291">
        <v>10</v>
      </c>
      <c r="R48" s="313">
        <v>3.7000000000000005E-2</v>
      </c>
      <c r="S48" s="293">
        <v>0.37000000000000005</v>
      </c>
      <c r="T48" s="1201"/>
      <c r="U48" s="291">
        <v>7.5</v>
      </c>
      <c r="V48" s="313">
        <v>2.775E-2</v>
      </c>
      <c r="W48" s="293">
        <v>0.27750000000000002</v>
      </c>
      <c r="X48" s="1200"/>
      <c r="Y48" s="291">
        <v>7.5</v>
      </c>
      <c r="Z48" s="313">
        <v>2.775E-2</v>
      </c>
      <c r="AA48" s="293">
        <v>0.27750000000000002</v>
      </c>
      <c r="AB48" s="1200"/>
      <c r="AC48" s="294">
        <v>8.3333333333333339</v>
      </c>
      <c r="AD48" s="252">
        <v>3.0833333333333334E-2</v>
      </c>
      <c r="AE48" s="293">
        <v>0.30833333333333335</v>
      </c>
      <c r="AF48" s="1202"/>
      <c r="AG48" s="897">
        <v>356.75675675675677</v>
      </c>
      <c r="AH48" s="1207">
        <v>3.0833333333333334E-2</v>
      </c>
      <c r="AI48" s="1207">
        <v>0.11</v>
      </c>
      <c r="AJ48" s="313">
        <v>1.1000000000000001</v>
      </c>
      <c r="AK48" s="252">
        <v>0.14083333333333334</v>
      </c>
      <c r="AL48" s="252">
        <v>1.4083333333333334</v>
      </c>
      <c r="AM48" s="694" t="s">
        <v>279</v>
      </c>
      <c r="AN48" s="1202"/>
      <c r="AO48" s="897">
        <v>0</v>
      </c>
      <c r="AP48" s="1207">
        <v>3.0833333333333334E-2</v>
      </c>
      <c r="AQ48" s="1207">
        <v>0</v>
      </c>
      <c r="AR48" s="293">
        <v>0</v>
      </c>
      <c r="AS48" s="252">
        <v>0.14083333333333334</v>
      </c>
      <c r="AT48" s="252">
        <v>1.4083333333333334</v>
      </c>
      <c r="AU48" s="694" t="s">
        <v>279</v>
      </c>
      <c r="AV48" s="1202"/>
      <c r="AW48" s="897">
        <v>0</v>
      </c>
      <c r="AX48" s="1207">
        <v>3.0833333333333334E-2</v>
      </c>
      <c r="AY48" s="1208">
        <v>0</v>
      </c>
      <c r="AZ48" s="293">
        <v>0</v>
      </c>
      <c r="BA48" s="252">
        <v>0.14083333333333334</v>
      </c>
      <c r="BB48" s="252">
        <v>1.4083333333333334</v>
      </c>
      <c r="BC48" s="694" t="s">
        <v>279</v>
      </c>
      <c r="BD48" s="1202"/>
      <c r="BE48" s="897">
        <v>118.91891891891892</v>
      </c>
      <c r="BF48" s="252">
        <v>9.2499999999999999E-2</v>
      </c>
      <c r="BG48" s="252">
        <v>0.11</v>
      </c>
      <c r="BH48" s="293">
        <v>1.1000000000000001</v>
      </c>
      <c r="BI48" s="252">
        <v>0.14083333333333334</v>
      </c>
      <c r="BJ48" s="252">
        <v>1.4083333333333334</v>
      </c>
      <c r="BK48" s="694" t="s">
        <v>279</v>
      </c>
      <c r="BL48" s="1202"/>
      <c r="BM48" s="897">
        <v>0</v>
      </c>
      <c r="BN48" s="252"/>
      <c r="BO48" s="252">
        <v>0.14083333333333334</v>
      </c>
      <c r="BP48" s="293">
        <v>1.4083333333333334</v>
      </c>
      <c r="BQ48" s="252">
        <v>0.14083333333333334</v>
      </c>
      <c r="BR48" s="252">
        <v>1.4083333333333334</v>
      </c>
      <c r="BS48" s="694" t="s">
        <v>279</v>
      </c>
      <c r="BT48" s="1202"/>
      <c r="BU48" s="897">
        <v>0</v>
      </c>
      <c r="BV48" s="1207">
        <v>0</v>
      </c>
      <c r="BW48" s="1209">
        <v>0</v>
      </c>
      <c r="BX48" s="293">
        <v>0</v>
      </c>
      <c r="BY48" s="252">
        <v>0.14083333333333334</v>
      </c>
      <c r="BZ48" s="252">
        <v>1.4083333333333334</v>
      </c>
      <c r="CA48" s="694" t="s">
        <v>279</v>
      </c>
      <c r="CB48" s="1202"/>
      <c r="CC48" s="897">
        <v>0</v>
      </c>
      <c r="CD48" s="1209">
        <v>0</v>
      </c>
      <c r="CE48" s="1209">
        <v>0</v>
      </c>
      <c r="CF48" s="293">
        <v>0</v>
      </c>
      <c r="CG48" s="899">
        <v>0.14083333333333334</v>
      </c>
      <c r="CH48" s="252">
        <v>1.4083333333333334</v>
      </c>
      <c r="CI48" s="694" t="s">
        <v>279</v>
      </c>
      <c r="CJ48" s="1202"/>
      <c r="CK48" s="897">
        <v>97.297297297297291</v>
      </c>
      <c r="CL48" s="1209">
        <v>4.1111111111111112E-2</v>
      </c>
      <c r="CM48" s="1209">
        <v>0.04</v>
      </c>
      <c r="CN48" s="293">
        <v>0.4</v>
      </c>
      <c r="CO48" s="252">
        <v>0.18083333333333335</v>
      </c>
      <c r="CP48" s="252">
        <v>1.8083333333333336</v>
      </c>
      <c r="CQ48" s="694" t="s">
        <v>279</v>
      </c>
      <c r="CR48" s="1202"/>
      <c r="CS48" s="897">
        <v>97.297297297297291</v>
      </c>
      <c r="CT48" s="252">
        <v>4.1111111111111112E-2</v>
      </c>
      <c r="CU48" s="252">
        <v>0.04</v>
      </c>
      <c r="CV48" s="293">
        <v>0.4</v>
      </c>
      <c r="CW48" s="252">
        <v>0.18083333333333335</v>
      </c>
      <c r="CX48" s="252">
        <v>1.8083333333333336</v>
      </c>
      <c r="CY48" s="694" t="s">
        <v>279</v>
      </c>
      <c r="CZ48" s="1202"/>
      <c r="DA48" s="897">
        <v>439.8648648648649</v>
      </c>
      <c r="DB48" s="252">
        <v>4.1111111111111112E-2</v>
      </c>
      <c r="DC48" s="252">
        <v>0.18083333333333335</v>
      </c>
      <c r="DD48" s="293">
        <v>1.8083333333333336</v>
      </c>
      <c r="DE48" s="252">
        <v>0.18083333333333335</v>
      </c>
      <c r="DF48" s="252">
        <v>1.8083333333333336</v>
      </c>
      <c r="DG48" s="694" t="s">
        <v>279</v>
      </c>
      <c r="DH48" s="1202"/>
      <c r="DI48" s="897">
        <v>102.16216216216216</v>
      </c>
      <c r="DJ48" s="1209">
        <v>4.1111111111111112E-2</v>
      </c>
      <c r="DK48" s="1209">
        <v>4.2000000000000003E-2</v>
      </c>
      <c r="DL48" s="293">
        <v>0.42000000000000004</v>
      </c>
      <c r="DM48" s="252">
        <v>0.22283333333333336</v>
      </c>
      <c r="DN48" s="252">
        <v>2.2283333333333335</v>
      </c>
      <c r="DO48" s="694" t="s">
        <v>279</v>
      </c>
      <c r="DP48" s="1202"/>
      <c r="DQ48" s="897">
        <v>0</v>
      </c>
      <c r="DR48" s="1209">
        <v>4.1111111111111112E-2</v>
      </c>
      <c r="DS48" s="1209"/>
      <c r="DT48" s="293">
        <v>0</v>
      </c>
      <c r="DU48" s="252">
        <v>0.22283333333333336</v>
      </c>
      <c r="DV48" s="252">
        <v>2.2283333333333335</v>
      </c>
      <c r="DW48" s="694" t="s">
        <v>279</v>
      </c>
      <c r="DX48" s="1202"/>
      <c r="DY48" s="897">
        <v>0</v>
      </c>
      <c r="DZ48" s="1209">
        <v>4.1111111111111112E-2</v>
      </c>
      <c r="EA48" s="1209"/>
      <c r="EB48" s="293">
        <v>0</v>
      </c>
      <c r="EC48" s="245">
        <v>0.22283333333333336</v>
      </c>
      <c r="ED48" s="295">
        <v>2.2283333333333335</v>
      </c>
      <c r="EE48" s="246" t="s">
        <v>279</v>
      </c>
      <c r="EF48" s="323"/>
      <c r="EG48" s="897">
        <v>34.054054054054056</v>
      </c>
      <c r="EH48" s="245">
        <v>0.12333333333333334</v>
      </c>
      <c r="EI48" s="245">
        <v>4.2000000000000003E-2</v>
      </c>
      <c r="EJ48" s="413">
        <v>0.42000000000000004</v>
      </c>
      <c r="EK48" s="245">
        <v>0.22283333333333336</v>
      </c>
      <c r="EL48" s="295">
        <v>2.2283333333333335</v>
      </c>
      <c r="EM48" s="246" t="s">
        <v>279</v>
      </c>
      <c r="EN48" s="323"/>
      <c r="EO48" s="897">
        <v>49.864864864864863</v>
      </c>
      <c r="EP48" s="245">
        <v>0.16444444444444445</v>
      </c>
      <c r="EQ48" s="245">
        <v>8.2000000000000003E-2</v>
      </c>
      <c r="ER48" s="413">
        <v>0.82000000000000006</v>
      </c>
      <c r="ES48" s="245">
        <v>0.22283333333333336</v>
      </c>
      <c r="ET48" s="295">
        <v>2.2283333333333335</v>
      </c>
      <c r="EU48" s="246" t="s">
        <v>279</v>
      </c>
      <c r="EV48" s="323"/>
      <c r="EW48" s="897">
        <v>135.50675675675674</v>
      </c>
      <c r="EX48" s="245">
        <v>0.16444444444444445</v>
      </c>
      <c r="EY48" s="245">
        <v>0.22283333333333333</v>
      </c>
      <c r="EZ48" s="413">
        <v>2.2283333333333335</v>
      </c>
      <c r="FA48" s="245">
        <v>0.22283333333333336</v>
      </c>
      <c r="FB48" s="295">
        <v>2.2283333333333335</v>
      </c>
      <c r="FC48" s="246" t="s">
        <v>279</v>
      </c>
    </row>
    <row r="49" spans="2:159" ht="20.100000000000001" customHeight="1">
      <c r="B49" s="1733"/>
      <c r="C49" s="1819"/>
      <c r="D49" s="191" t="s">
        <v>219</v>
      </c>
      <c r="E49" s="886" t="s">
        <v>11</v>
      </c>
      <c r="F49" s="873">
        <v>3</v>
      </c>
      <c r="G49" s="874">
        <v>40</v>
      </c>
      <c r="H49" s="1198"/>
      <c r="I49" s="1206">
        <v>0</v>
      </c>
      <c r="J49" s="291">
        <v>3</v>
      </c>
      <c r="K49" s="313">
        <v>0</v>
      </c>
      <c r="L49" s="305">
        <v>0</v>
      </c>
      <c r="M49" s="1200"/>
      <c r="N49" s="291">
        <v>3</v>
      </c>
      <c r="O49" s="293">
        <v>6</v>
      </c>
      <c r="P49" s="1200"/>
      <c r="Q49" s="291">
        <v>2.5</v>
      </c>
      <c r="R49" s="313">
        <v>0.15</v>
      </c>
      <c r="S49" s="293">
        <v>1.9999999999999998</v>
      </c>
      <c r="T49" s="1201"/>
      <c r="U49" s="291">
        <v>5</v>
      </c>
      <c r="V49" s="313">
        <v>0.3</v>
      </c>
      <c r="W49" s="293">
        <v>3.9999999999999996</v>
      </c>
      <c r="X49" s="1200"/>
      <c r="Y49" s="291">
        <v>6</v>
      </c>
      <c r="Z49" s="313">
        <v>0.36</v>
      </c>
      <c r="AA49" s="293">
        <v>4.8</v>
      </c>
      <c r="AB49" s="1200"/>
      <c r="AC49" s="294">
        <v>4.5</v>
      </c>
      <c r="AD49" s="252">
        <v>0.27</v>
      </c>
      <c r="AE49" s="293">
        <v>3.6000000000000005</v>
      </c>
      <c r="AF49" s="1202"/>
      <c r="AG49" s="897">
        <v>0</v>
      </c>
      <c r="AH49" s="1207">
        <v>0.5</v>
      </c>
      <c r="AI49" s="1207">
        <v>0</v>
      </c>
      <c r="AJ49" s="313">
        <v>0</v>
      </c>
      <c r="AK49" s="252">
        <v>0.27</v>
      </c>
      <c r="AL49" s="252">
        <v>3.6000000000000005</v>
      </c>
      <c r="AM49" s="694" t="s">
        <v>279</v>
      </c>
      <c r="AN49" s="1202"/>
      <c r="AO49" s="897">
        <v>0</v>
      </c>
      <c r="AP49" s="1207">
        <v>0.5</v>
      </c>
      <c r="AQ49" s="1207">
        <v>0</v>
      </c>
      <c r="AR49" s="293">
        <v>0</v>
      </c>
      <c r="AS49" s="252">
        <v>0.27</v>
      </c>
      <c r="AT49" s="252">
        <v>3.6000000000000005</v>
      </c>
      <c r="AU49" s="694" t="s">
        <v>279</v>
      </c>
      <c r="AV49" s="1202"/>
      <c r="AW49" s="897">
        <v>0</v>
      </c>
      <c r="AX49" s="1207">
        <v>0.5</v>
      </c>
      <c r="AY49" s="1208">
        <v>0</v>
      </c>
      <c r="AZ49" s="293">
        <v>0</v>
      </c>
      <c r="BA49" s="252">
        <v>0.27</v>
      </c>
      <c r="BB49" s="252">
        <v>3.6000000000000005</v>
      </c>
      <c r="BC49" s="694" t="s">
        <v>279</v>
      </c>
      <c r="BD49" s="1202"/>
      <c r="BE49" s="897">
        <v>0</v>
      </c>
      <c r="BF49" s="252">
        <v>1.5</v>
      </c>
      <c r="BG49" s="252">
        <v>0</v>
      </c>
      <c r="BH49" s="293">
        <v>0</v>
      </c>
      <c r="BI49" s="252">
        <v>0.27</v>
      </c>
      <c r="BJ49" s="252">
        <v>3.6000000000000005</v>
      </c>
      <c r="BK49" s="694" t="s">
        <v>279</v>
      </c>
      <c r="BL49" s="1202"/>
      <c r="BM49" s="897">
        <v>0</v>
      </c>
      <c r="BN49" s="252"/>
      <c r="BO49" s="252">
        <v>0.27</v>
      </c>
      <c r="BP49" s="293">
        <v>3.6000000000000005</v>
      </c>
      <c r="BQ49" s="252">
        <v>0.27</v>
      </c>
      <c r="BR49" s="252">
        <v>3.6000000000000005</v>
      </c>
      <c r="BS49" s="694" t="s">
        <v>279</v>
      </c>
      <c r="BT49" s="1202"/>
      <c r="BU49" s="897">
        <v>0</v>
      </c>
      <c r="BV49" s="1207">
        <v>0.25</v>
      </c>
      <c r="BW49" s="1209">
        <v>0</v>
      </c>
      <c r="BX49" s="293">
        <v>0</v>
      </c>
      <c r="BY49" s="252">
        <v>0.27</v>
      </c>
      <c r="BZ49" s="252">
        <v>3.6000000000000005</v>
      </c>
      <c r="CA49" s="694" t="s">
        <v>279</v>
      </c>
      <c r="CB49" s="1202"/>
      <c r="CC49" s="897">
        <v>0</v>
      </c>
      <c r="CD49" s="1207">
        <v>0.66666666666666663</v>
      </c>
      <c r="CE49" s="1209">
        <v>0</v>
      </c>
      <c r="CF49" s="293">
        <v>0</v>
      </c>
      <c r="CG49" s="899">
        <v>0.27</v>
      </c>
      <c r="CH49" s="252">
        <v>3.6000000000000005</v>
      </c>
      <c r="CI49" s="694" t="s">
        <v>279</v>
      </c>
      <c r="CJ49" s="1202"/>
      <c r="CK49" s="897">
        <v>30.000000000000004</v>
      </c>
      <c r="CL49" s="1209">
        <v>0.66666666666666663</v>
      </c>
      <c r="CM49" s="1209">
        <v>0.2</v>
      </c>
      <c r="CN49" s="293">
        <v>2.666666666666667</v>
      </c>
      <c r="CO49" s="252">
        <v>0.47000000000000003</v>
      </c>
      <c r="CP49" s="252">
        <v>6.2666666666666675</v>
      </c>
      <c r="CQ49" s="694" t="s">
        <v>279</v>
      </c>
      <c r="CR49" s="1202"/>
      <c r="CS49" s="897">
        <v>12.631578947368421</v>
      </c>
      <c r="CT49" s="252">
        <v>1.5833333333333333</v>
      </c>
      <c r="CU49" s="252">
        <v>0.2</v>
      </c>
      <c r="CV49" s="293">
        <v>2.666666666666667</v>
      </c>
      <c r="CW49" s="252">
        <v>0.47000000000000003</v>
      </c>
      <c r="CX49" s="252">
        <v>6.2666666666666675</v>
      </c>
      <c r="CY49" s="694" t="s">
        <v>279</v>
      </c>
      <c r="CZ49" s="1202"/>
      <c r="DA49" s="897">
        <v>29.684210526315791</v>
      </c>
      <c r="DB49" s="252">
        <v>1.5833333333333333</v>
      </c>
      <c r="DC49" s="252">
        <v>0.47000000000000003</v>
      </c>
      <c r="DD49" s="293">
        <v>6.2666666666666675</v>
      </c>
      <c r="DE49" s="252">
        <v>0.47000000000000003</v>
      </c>
      <c r="DF49" s="252">
        <v>6.2666666666666675</v>
      </c>
      <c r="DG49" s="694" t="s">
        <v>279</v>
      </c>
      <c r="DH49" s="1202"/>
      <c r="DI49" s="897">
        <v>31.500000000000007</v>
      </c>
      <c r="DJ49" s="1209">
        <v>0.66666666666666663</v>
      </c>
      <c r="DK49" s="1209">
        <v>0.21000000000000002</v>
      </c>
      <c r="DL49" s="293">
        <v>2.8000000000000003</v>
      </c>
      <c r="DM49" s="252">
        <v>0.68</v>
      </c>
      <c r="DN49" s="252">
        <v>9.0666666666666664</v>
      </c>
      <c r="DO49" s="694" t="s">
        <v>279</v>
      </c>
      <c r="DP49" s="1202"/>
      <c r="DQ49" s="897">
        <v>0</v>
      </c>
      <c r="DR49" s="1209">
        <v>0.66666666666666663</v>
      </c>
      <c r="DS49" s="1209"/>
      <c r="DT49" s="293">
        <v>0</v>
      </c>
      <c r="DU49" s="252">
        <v>0.68</v>
      </c>
      <c r="DV49" s="252">
        <v>9.0666666666666664</v>
      </c>
      <c r="DW49" s="694" t="s">
        <v>279</v>
      </c>
      <c r="DX49" s="1202"/>
      <c r="DY49" s="897">
        <v>0</v>
      </c>
      <c r="DZ49" s="1209">
        <v>0.66666666666666663</v>
      </c>
      <c r="EA49" s="1209"/>
      <c r="EB49" s="293">
        <v>0</v>
      </c>
      <c r="EC49" s="245">
        <v>0.68</v>
      </c>
      <c r="ED49" s="295">
        <v>9.0666666666666664</v>
      </c>
      <c r="EE49" s="246" t="s">
        <v>279</v>
      </c>
      <c r="EF49" s="323"/>
      <c r="EG49" s="897">
        <v>10.500000000000002</v>
      </c>
      <c r="EH49" s="245">
        <v>2</v>
      </c>
      <c r="EI49" s="245">
        <v>0.21000000000000002</v>
      </c>
      <c r="EJ49" s="413">
        <v>2.8000000000000003</v>
      </c>
      <c r="EK49" s="245">
        <v>0.68</v>
      </c>
      <c r="EL49" s="295">
        <v>9.0666666666666664</v>
      </c>
      <c r="EM49" s="246" t="s">
        <v>279</v>
      </c>
      <c r="EN49" s="323"/>
      <c r="EO49" s="897">
        <v>11.441860465116282</v>
      </c>
      <c r="EP49" s="245">
        <v>3.583333333333333</v>
      </c>
      <c r="EQ49" s="245">
        <v>0.41000000000000003</v>
      </c>
      <c r="ER49" s="413">
        <v>5.4666666666666677</v>
      </c>
      <c r="ES49" s="245">
        <v>0.68</v>
      </c>
      <c r="ET49" s="295">
        <v>9.0666666666666664</v>
      </c>
      <c r="EU49" s="246" t="s">
        <v>279</v>
      </c>
      <c r="EV49" s="323"/>
      <c r="EW49" s="897">
        <v>18.976744186046517</v>
      </c>
      <c r="EX49" s="245">
        <v>3.583333333333333</v>
      </c>
      <c r="EY49" s="245">
        <v>0.68</v>
      </c>
      <c r="EZ49" s="413">
        <v>9.0666666666666664</v>
      </c>
      <c r="FA49" s="245">
        <v>0.68</v>
      </c>
      <c r="FB49" s="295">
        <v>9.0666666666666664</v>
      </c>
      <c r="FC49" s="246" t="s">
        <v>279</v>
      </c>
    </row>
    <row r="50" spans="2:159" ht="20.100000000000001" customHeight="1">
      <c r="B50" s="1733"/>
      <c r="C50" s="1819"/>
      <c r="D50" s="192" t="s">
        <v>220</v>
      </c>
      <c r="E50" s="886" t="s">
        <v>11</v>
      </c>
      <c r="F50" s="873">
        <v>4</v>
      </c>
      <c r="G50" s="874">
        <v>5</v>
      </c>
      <c r="H50" s="1198"/>
      <c r="I50" s="1206">
        <v>0</v>
      </c>
      <c r="J50" s="291"/>
      <c r="K50" s="313"/>
      <c r="L50" s="293">
        <v>0</v>
      </c>
      <c r="M50" s="1200"/>
      <c r="N50" s="291">
        <v>0</v>
      </c>
      <c r="O50" s="293">
        <v>0</v>
      </c>
      <c r="P50" s="1200"/>
      <c r="Q50" s="291">
        <v>0</v>
      </c>
      <c r="R50" s="313">
        <v>0</v>
      </c>
      <c r="S50" s="293">
        <v>0</v>
      </c>
      <c r="T50" s="1201"/>
      <c r="U50" s="291">
        <v>0</v>
      </c>
      <c r="V50" s="313">
        <v>0</v>
      </c>
      <c r="W50" s="293">
        <v>0</v>
      </c>
      <c r="X50" s="1200"/>
      <c r="Y50" s="291">
        <v>0</v>
      </c>
      <c r="Z50" s="313">
        <v>0</v>
      </c>
      <c r="AA50" s="293">
        <v>0</v>
      </c>
      <c r="AB50" s="1200"/>
      <c r="AC50" s="294">
        <v>0</v>
      </c>
      <c r="AD50" s="252">
        <v>0</v>
      </c>
      <c r="AE50" s="293">
        <v>0</v>
      </c>
      <c r="AF50" s="1202"/>
      <c r="AG50" s="897">
        <v>0</v>
      </c>
      <c r="AH50" s="1207">
        <v>4</v>
      </c>
      <c r="AI50" s="1207">
        <v>0</v>
      </c>
      <c r="AJ50" s="313">
        <v>0</v>
      </c>
      <c r="AK50" s="252">
        <v>0</v>
      </c>
      <c r="AL50" s="252">
        <v>0</v>
      </c>
      <c r="AM50" s="694" t="s">
        <v>279</v>
      </c>
      <c r="AN50" s="1202"/>
      <c r="AO50" s="897">
        <v>0</v>
      </c>
      <c r="AP50" s="1207">
        <v>0</v>
      </c>
      <c r="AQ50" s="1207">
        <v>0</v>
      </c>
      <c r="AR50" s="293">
        <v>0</v>
      </c>
      <c r="AS50" s="252">
        <v>0</v>
      </c>
      <c r="AT50" s="252">
        <v>0</v>
      </c>
      <c r="AU50" s="694" t="s">
        <v>279</v>
      </c>
      <c r="AV50" s="1202"/>
      <c r="AW50" s="897">
        <v>0</v>
      </c>
      <c r="AX50" s="1208">
        <v>0</v>
      </c>
      <c r="AY50" s="1208">
        <v>0</v>
      </c>
      <c r="AZ50" s="293">
        <v>0</v>
      </c>
      <c r="BA50" s="252">
        <v>0</v>
      </c>
      <c r="BB50" s="252">
        <v>0</v>
      </c>
      <c r="BC50" s="694" t="s">
        <v>279</v>
      </c>
      <c r="BD50" s="1202"/>
      <c r="BE50" s="897">
        <v>0</v>
      </c>
      <c r="BF50" s="252">
        <v>4</v>
      </c>
      <c r="BG50" s="252">
        <v>0</v>
      </c>
      <c r="BH50" s="293">
        <v>0</v>
      </c>
      <c r="BI50" s="252">
        <v>0</v>
      </c>
      <c r="BJ50" s="252">
        <v>0</v>
      </c>
      <c r="BK50" s="694" t="s">
        <v>279</v>
      </c>
      <c r="BL50" s="1202"/>
      <c r="BM50" s="897">
        <v>0</v>
      </c>
      <c r="BN50" s="252"/>
      <c r="BO50" s="252">
        <v>0</v>
      </c>
      <c r="BP50" s="293">
        <v>0</v>
      </c>
      <c r="BQ50" s="252">
        <v>0</v>
      </c>
      <c r="BR50" s="252">
        <v>0</v>
      </c>
      <c r="BS50" s="694" t="s">
        <v>279</v>
      </c>
      <c r="BT50" s="1202"/>
      <c r="BU50" s="897">
        <v>0</v>
      </c>
      <c r="BV50" s="1209">
        <v>0</v>
      </c>
      <c r="BW50" s="1209">
        <v>0</v>
      </c>
      <c r="BX50" s="293">
        <v>0</v>
      </c>
      <c r="BY50" s="252">
        <v>0</v>
      </c>
      <c r="BZ50" s="252">
        <v>0</v>
      </c>
      <c r="CA50" s="694" t="s">
        <v>279</v>
      </c>
      <c r="CB50" s="1202"/>
      <c r="CC50" s="897">
        <v>0</v>
      </c>
      <c r="CD50" s="1209">
        <v>0</v>
      </c>
      <c r="CE50" s="1209">
        <v>0</v>
      </c>
      <c r="CF50" s="293">
        <v>0</v>
      </c>
      <c r="CG50" s="899">
        <v>0</v>
      </c>
      <c r="CH50" s="252">
        <v>0</v>
      </c>
      <c r="CI50" s="694" t="s">
        <v>279</v>
      </c>
      <c r="CJ50" s="1202"/>
      <c r="CK50" s="897">
        <v>0</v>
      </c>
      <c r="CL50" s="1209">
        <v>0</v>
      </c>
      <c r="CM50" s="1209">
        <v>0</v>
      </c>
      <c r="CN50" s="293">
        <v>0</v>
      </c>
      <c r="CO50" s="252">
        <v>0</v>
      </c>
      <c r="CP50" s="252">
        <v>0</v>
      </c>
      <c r="CQ50" s="694" t="s">
        <v>279</v>
      </c>
      <c r="CR50" s="1202"/>
      <c r="CS50" s="897">
        <v>0</v>
      </c>
      <c r="CT50" s="252">
        <v>0</v>
      </c>
      <c r="CU50" s="252">
        <v>0</v>
      </c>
      <c r="CV50" s="293">
        <v>0</v>
      </c>
      <c r="CW50" s="252">
        <v>0</v>
      </c>
      <c r="CX50" s="252">
        <v>0</v>
      </c>
      <c r="CY50" s="694" t="s">
        <v>279</v>
      </c>
      <c r="CZ50" s="1202"/>
      <c r="DA50" s="897">
        <v>0</v>
      </c>
      <c r="DB50" s="252">
        <v>0</v>
      </c>
      <c r="DC50" s="252">
        <v>0</v>
      </c>
      <c r="DD50" s="293">
        <v>0</v>
      </c>
      <c r="DE50" s="252">
        <v>0</v>
      </c>
      <c r="DF50" s="252">
        <v>0</v>
      </c>
      <c r="DG50" s="694" t="s">
        <v>279</v>
      </c>
      <c r="DH50" s="1202"/>
      <c r="DI50" s="897">
        <v>0</v>
      </c>
      <c r="DJ50" s="1209">
        <v>0</v>
      </c>
      <c r="DK50" s="1209">
        <v>0</v>
      </c>
      <c r="DL50" s="293">
        <v>0</v>
      </c>
      <c r="DM50" s="252">
        <v>0</v>
      </c>
      <c r="DN50" s="252">
        <v>0</v>
      </c>
      <c r="DO50" s="694" t="s">
        <v>279</v>
      </c>
      <c r="DP50" s="1202"/>
      <c r="DQ50" s="897">
        <v>0</v>
      </c>
      <c r="DR50" s="1209">
        <v>0</v>
      </c>
      <c r="DS50" s="1209"/>
      <c r="DT50" s="293">
        <v>0</v>
      </c>
      <c r="DU50" s="252">
        <v>0</v>
      </c>
      <c r="DV50" s="252">
        <v>0</v>
      </c>
      <c r="DW50" s="694" t="s">
        <v>279</v>
      </c>
      <c r="DX50" s="1202"/>
      <c r="DY50" s="897">
        <v>0</v>
      </c>
      <c r="DZ50" s="1209">
        <v>0</v>
      </c>
      <c r="EA50" s="1209"/>
      <c r="EB50" s="293">
        <v>0</v>
      </c>
      <c r="EC50" s="245">
        <v>0</v>
      </c>
      <c r="ED50" s="295">
        <v>0</v>
      </c>
      <c r="EE50" s="246" t="s">
        <v>279</v>
      </c>
      <c r="EF50" s="323"/>
      <c r="EG50" s="897">
        <v>0</v>
      </c>
      <c r="EH50" s="245">
        <v>0</v>
      </c>
      <c r="EI50" s="245">
        <v>0</v>
      </c>
      <c r="EJ50" s="413">
        <v>0</v>
      </c>
      <c r="EK50" s="245">
        <v>0</v>
      </c>
      <c r="EL50" s="295">
        <v>0</v>
      </c>
      <c r="EM50" s="246" t="s">
        <v>279</v>
      </c>
      <c r="EN50" s="323"/>
      <c r="EO50" s="897">
        <v>0</v>
      </c>
      <c r="EP50" s="245">
        <v>0</v>
      </c>
      <c r="EQ50" s="245">
        <v>0</v>
      </c>
      <c r="ER50" s="413">
        <v>0</v>
      </c>
      <c r="ES50" s="245">
        <v>0</v>
      </c>
      <c r="ET50" s="295">
        <v>0</v>
      </c>
      <c r="EU50" s="246" t="s">
        <v>279</v>
      </c>
      <c r="EV50" s="323"/>
      <c r="EW50" s="897">
        <v>0</v>
      </c>
      <c r="EX50" s="245">
        <v>0</v>
      </c>
      <c r="EY50" s="245">
        <v>0</v>
      </c>
      <c r="EZ50" s="413">
        <v>0</v>
      </c>
      <c r="FA50" s="245">
        <v>0</v>
      </c>
      <c r="FB50" s="295">
        <v>0</v>
      </c>
      <c r="FC50" s="246" t="s">
        <v>279</v>
      </c>
    </row>
    <row r="51" spans="2:159" ht="20.100000000000001" customHeight="1" thickBot="1">
      <c r="B51" s="1734"/>
      <c r="C51" s="1820"/>
      <c r="D51" s="195" t="s">
        <v>75</v>
      </c>
      <c r="E51" s="887"/>
      <c r="F51" s="876" t="s">
        <v>4</v>
      </c>
      <c r="G51" s="881">
        <v>100</v>
      </c>
      <c r="H51" s="1198"/>
      <c r="I51" s="1217">
        <v>26.33</v>
      </c>
      <c r="J51" s="298"/>
      <c r="K51" s="307"/>
      <c r="L51" s="299">
        <v>26.3</v>
      </c>
      <c r="M51" s="1200"/>
      <c r="N51" s="298"/>
      <c r="O51" s="308"/>
      <c r="P51" s="1200"/>
      <c r="Q51" s="298"/>
      <c r="R51" s="300" t="s">
        <v>4</v>
      </c>
      <c r="S51" s="299">
        <v>3.62</v>
      </c>
      <c r="T51" s="1201"/>
      <c r="U51" s="298"/>
      <c r="V51" s="300" t="s">
        <v>4</v>
      </c>
      <c r="W51" s="299">
        <v>6.1524999999999999</v>
      </c>
      <c r="X51" s="1200"/>
      <c r="Y51" s="298"/>
      <c r="Z51" s="300" t="s">
        <v>4</v>
      </c>
      <c r="AA51" s="299">
        <v>6.9525000000000006</v>
      </c>
      <c r="AB51" s="1200"/>
      <c r="AC51" s="301"/>
      <c r="AD51" s="265" t="s">
        <v>4</v>
      </c>
      <c r="AE51" s="259">
        <v>5.5750000000000002</v>
      </c>
      <c r="AF51" s="1202"/>
      <c r="AG51" s="904"/>
      <c r="AH51" s="905"/>
      <c r="AI51" s="905"/>
      <c r="AJ51" s="265">
        <v>39.6</v>
      </c>
      <c r="AK51" s="909"/>
      <c r="AL51" s="265">
        <v>45.175000000000004</v>
      </c>
      <c r="AM51" s="259"/>
      <c r="AN51" s="1202"/>
      <c r="AO51" s="904"/>
      <c r="AP51" s="905"/>
      <c r="AQ51" s="905"/>
      <c r="AR51" s="265">
        <v>0</v>
      </c>
      <c r="AS51" s="909"/>
      <c r="AT51" s="265">
        <v>45.175000000000004</v>
      </c>
      <c r="AU51" s="259"/>
      <c r="AV51" s="1202"/>
      <c r="AW51" s="904"/>
      <c r="AX51" s="905"/>
      <c r="AY51" s="905"/>
      <c r="AZ51" s="265">
        <v>0</v>
      </c>
      <c r="BA51" s="909"/>
      <c r="BB51" s="265">
        <v>45.175000000000004</v>
      </c>
      <c r="BC51" s="259"/>
      <c r="BD51" s="1202"/>
      <c r="BE51" s="904"/>
      <c r="BF51" s="906"/>
      <c r="BG51" s="906"/>
      <c r="BH51" s="265">
        <v>39.6</v>
      </c>
      <c r="BI51" s="909"/>
      <c r="BJ51" s="265">
        <v>45.175000000000004</v>
      </c>
      <c r="BK51" s="259"/>
      <c r="BL51" s="1202"/>
      <c r="BM51" s="904"/>
      <c r="BN51" s="906"/>
      <c r="BO51" s="906"/>
      <c r="BP51" s="265">
        <v>45.175000000000004</v>
      </c>
      <c r="BQ51" s="909"/>
      <c r="BR51" s="265">
        <v>45.175000000000004</v>
      </c>
      <c r="BS51" s="259"/>
      <c r="BT51" s="1202"/>
      <c r="BU51" s="904"/>
      <c r="BV51" s="906"/>
      <c r="BW51" s="906"/>
      <c r="BX51" s="265">
        <v>0</v>
      </c>
      <c r="BY51" s="909"/>
      <c r="BZ51" s="265">
        <v>45.175000000000004</v>
      </c>
      <c r="CA51" s="259"/>
      <c r="CB51" s="1202"/>
      <c r="CC51" s="904"/>
      <c r="CD51" s="906"/>
      <c r="CE51" s="906"/>
      <c r="CF51" s="259">
        <v>0</v>
      </c>
      <c r="CG51" s="910"/>
      <c r="CH51" s="265">
        <v>45.175000000000004</v>
      </c>
      <c r="CI51" s="259"/>
      <c r="CJ51" s="1202"/>
      <c r="CK51" s="904"/>
      <c r="CL51" s="906"/>
      <c r="CM51" s="906"/>
      <c r="CN51" s="265">
        <v>5.8666666666666671</v>
      </c>
      <c r="CO51" s="909"/>
      <c r="CP51" s="265">
        <v>51.041666666666671</v>
      </c>
      <c r="CQ51" s="259"/>
      <c r="CR51" s="1202"/>
      <c r="CS51" s="904"/>
      <c r="CT51" s="906"/>
      <c r="CU51" s="906"/>
      <c r="CV51" s="265">
        <v>5.8666666666666671</v>
      </c>
      <c r="CW51" s="909"/>
      <c r="CX51" s="265">
        <v>51.041666666666671</v>
      </c>
      <c r="CY51" s="259"/>
      <c r="CZ51" s="1202"/>
      <c r="DA51" s="904"/>
      <c r="DB51" s="906"/>
      <c r="DC51" s="906"/>
      <c r="DD51" s="265">
        <v>51.041666666666671</v>
      </c>
      <c r="DE51" s="909"/>
      <c r="DF51" s="265">
        <v>51.041666666666671</v>
      </c>
      <c r="DG51" s="259"/>
      <c r="DH51" s="1202"/>
      <c r="DI51" s="904"/>
      <c r="DJ51" s="906"/>
      <c r="DK51" s="906"/>
      <c r="DL51" s="265">
        <v>6.16</v>
      </c>
      <c r="DM51" s="909"/>
      <c r="DN51" s="265">
        <v>57.201666666666668</v>
      </c>
      <c r="DO51" s="259"/>
      <c r="DP51" s="1202"/>
      <c r="DQ51" s="904"/>
      <c r="DR51" s="906"/>
      <c r="DS51" s="906"/>
      <c r="DT51" s="265">
        <v>0</v>
      </c>
      <c r="DU51" s="909"/>
      <c r="DV51" s="265">
        <v>57.201666666666668</v>
      </c>
      <c r="DW51" s="259"/>
      <c r="DX51" s="1202"/>
      <c r="DY51" s="904"/>
      <c r="DZ51" s="906"/>
      <c r="EA51" s="906"/>
      <c r="EB51" s="265">
        <v>0</v>
      </c>
      <c r="EC51" s="261"/>
      <c r="ED51" s="260">
        <v>57.201666666666668</v>
      </c>
      <c r="EE51" s="259"/>
      <c r="EF51" s="323"/>
      <c r="EG51" s="904"/>
      <c r="EH51" s="302"/>
      <c r="EI51" s="302"/>
      <c r="EJ51" s="265">
        <v>6.16</v>
      </c>
      <c r="EK51" s="261"/>
      <c r="EL51" s="260">
        <v>57.201666666666668</v>
      </c>
      <c r="EM51" s="259"/>
      <c r="EN51" s="323"/>
      <c r="EO51" s="904"/>
      <c r="EP51" s="302"/>
      <c r="EQ51" s="302"/>
      <c r="ER51" s="265">
        <v>12.026666666666667</v>
      </c>
      <c r="ES51" s="261"/>
      <c r="ET51" s="260">
        <v>57.201666666666668</v>
      </c>
      <c r="EU51" s="259"/>
      <c r="EV51" s="323"/>
      <c r="EW51" s="904"/>
      <c r="EX51" s="302"/>
      <c r="EY51" s="302"/>
      <c r="EZ51" s="265">
        <v>57.201666666666668</v>
      </c>
      <c r="FA51" s="261"/>
      <c r="FB51" s="260">
        <v>57.201666666666668</v>
      </c>
      <c r="FC51" s="259"/>
    </row>
    <row r="52" spans="2:159" ht="20.100000000000001" customHeight="1" thickTop="1">
      <c r="B52" s="1748" t="s">
        <v>31</v>
      </c>
      <c r="C52" s="1821" t="s">
        <v>61</v>
      </c>
      <c r="D52" s="197" t="s">
        <v>218</v>
      </c>
      <c r="E52" s="890" t="s">
        <v>11</v>
      </c>
      <c r="F52" s="879">
        <v>4</v>
      </c>
      <c r="G52" s="879">
        <v>10</v>
      </c>
      <c r="H52" s="1198"/>
      <c r="I52" s="1219">
        <v>7.5</v>
      </c>
      <c r="J52" s="287">
        <v>1</v>
      </c>
      <c r="K52" s="450">
        <v>4</v>
      </c>
      <c r="L52" s="303">
        <v>10</v>
      </c>
      <c r="M52" s="1200"/>
      <c r="N52" s="287">
        <v>1</v>
      </c>
      <c r="O52" s="288">
        <v>1</v>
      </c>
      <c r="P52" s="1200"/>
      <c r="Q52" s="287">
        <v>10</v>
      </c>
      <c r="R52" s="450">
        <v>0.1</v>
      </c>
      <c r="S52" s="288">
        <v>0.25</v>
      </c>
      <c r="T52" s="1201"/>
      <c r="U52" s="287">
        <v>7.5</v>
      </c>
      <c r="V52" s="450">
        <v>7.4999999999999997E-2</v>
      </c>
      <c r="W52" s="293">
        <v>0.1875</v>
      </c>
      <c r="X52" s="1200"/>
      <c r="Y52" s="287">
        <v>10</v>
      </c>
      <c r="Z52" s="450">
        <v>0.1</v>
      </c>
      <c r="AA52" s="293">
        <v>0.25</v>
      </c>
      <c r="AB52" s="1200"/>
      <c r="AC52" s="294">
        <v>9.1666666666666661</v>
      </c>
      <c r="AD52" s="252">
        <v>9.166666666666666E-2</v>
      </c>
      <c r="AE52" s="293">
        <v>0.22916666666666666</v>
      </c>
      <c r="AF52" s="1202"/>
      <c r="AG52" s="897">
        <v>0</v>
      </c>
      <c r="AH52" s="1207">
        <v>0</v>
      </c>
      <c r="AI52" s="1207">
        <v>1</v>
      </c>
      <c r="AJ52" s="313">
        <v>2.5</v>
      </c>
      <c r="AK52" s="252">
        <v>1.0916666666666666</v>
      </c>
      <c r="AL52" s="252">
        <v>2.7291666666666665</v>
      </c>
      <c r="AM52" s="694" t="s">
        <v>279</v>
      </c>
      <c r="AN52" s="1202"/>
      <c r="AO52" s="897">
        <v>0</v>
      </c>
      <c r="AP52" s="1207">
        <v>0</v>
      </c>
      <c r="AQ52" s="1207">
        <v>0</v>
      </c>
      <c r="AR52" s="293">
        <v>0</v>
      </c>
      <c r="AS52" s="252">
        <v>1.0916666666666666</v>
      </c>
      <c r="AT52" s="252">
        <v>2.7291666666666665</v>
      </c>
      <c r="AU52" s="694" t="s">
        <v>279</v>
      </c>
      <c r="AV52" s="1202"/>
      <c r="AW52" s="897">
        <v>0</v>
      </c>
      <c r="AX52" s="1208">
        <v>0</v>
      </c>
      <c r="AY52" s="1208">
        <v>0</v>
      </c>
      <c r="AZ52" s="293">
        <v>0</v>
      </c>
      <c r="BA52" s="252">
        <v>1.0916666666666666</v>
      </c>
      <c r="BB52" s="252">
        <v>2.7291666666666665</v>
      </c>
      <c r="BC52" s="694" t="s">
        <v>279</v>
      </c>
      <c r="BD52" s="1202"/>
      <c r="BE52" s="897">
        <v>0</v>
      </c>
      <c r="BF52" s="252">
        <v>0</v>
      </c>
      <c r="BG52" s="252">
        <v>1</v>
      </c>
      <c r="BH52" s="293">
        <v>2.5</v>
      </c>
      <c r="BI52" s="252">
        <v>1.0916666666666666</v>
      </c>
      <c r="BJ52" s="252">
        <v>2.7291666666666665</v>
      </c>
      <c r="BK52" s="694" t="s">
        <v>279</v>
      </c>
      <c r="BL52" s="1202"/>
      <c r="BM52" s="897">
        <v>0</v>
      </c>
      <c r="BN52" s="252"/>
      <c r="BO52" s="252">
        <v>1.0916666666666666</v>
      </c>
      <c r="BP52" s="293">
        <v>2.7291666666666665</v>
      </c>
      <c r="BQ52" s="252">
        <v>1.0916666666666666</v>
      </c>
      <c r="BR52" s="252">
        <v>2.7291666666666665</v>
      </c>
      <c r="BS52" s="694" t="s">
        <v>279</v>
      </c>
      <c r="BT52" s="1202"/>
      <c r="BU52" s="897">
        <v>0</v>
      </c>
      <c r="BV52" s="1209">
        <v>0</v>
      </c>
      <c r="BW52" s="1209">
        <v>0</v>
      </c>
      <c r="BX52" s="293">
        <v>0</v>
      </c>
      <c r="BY52" s="252">
        <v>1.0916666666666666</v>
      </c>
      <c r="BZ52" s="252">
        <v>2.7291666666666665</v>
      </c>
      <c r="CA52" s="694" t="s">
        <v>279</v>
      </c>
      <c r="CB52" s="1202"/>
      <c r="CC52" s="897">
        <v>0</v>
      </c>
      <c r="CD52" s="1209">
        <v>0</v>
      </c>
      <c r="CE52" s="1209">
        <v>0</v>
      </c>
      <c r="CF52" s="293">
        <v>0</v>
      </c>
      <c r="CG52" s="899">
        <v>1.0916666666666666</v>
      </c>
      <c r="CH52" s="252">
        <v>2.7291666666666665</v>
      </c>
      <c r="CI52" s="694" t="s">
        <v>279</v>
      </c>
      <c r="CJ52" s="1202"/>
      <c r="CK52" s="897">
        <v>99.000000000000014</v>
      </c>
      <c r="CL52" s="1209">
        <v>0.1111111111111111</v>
      </c>
      <c r="CM52" s="1209">
        <v>0.11</v>
      </c>
      <c r="CN52" s="293">
        <v>0.27500000000000002</v>
      </c>
      <c r="CO52" s="252">
        <v>1.2016666666666667</v>
      </c>
      <c r="CP52" s="252">
        <v>3.0041666666666664</v>
      </c>
      <c r="CQ52" s="694" t="s">
        <v>279</v>
      </c>
      <c r="CR52" s="1202"/>
      <c r="CS52" s="897">
        <v>99.000000000000014</v>
      </c>
      <c r="CT52" s="252">
        <v>0.1111111111111111</v>
      </c>
      <c r="CU52" s="252">
        <v>0.11</v>
      </c>
      <c r="CV52" s="293">
        <v>0.27500000000000002</v>
      </c>
      <c r="CW52" s="252">
        <v>1.2016666666666667</v>
      </c>
      <c r="CX52" s="252">
        <v>3.0041666666666664</v>
      </c>
      <c r="CY52" s="694" t="s">
        <v>279</v>
      </c>
      <c r="CZ52" s="1202"/>
      <c r="DA52" s="897">
        <v>1081.5000000000002</v>
      </c>
      <c r="DB52" s="252">
        <v>0.1111111111111111</v>
      </c>
      <c r="DC52" s="252">
        <v>1.2016666666666667</v>
      </c>
      <c r="DD52" s="293">
        <v>3.0041666666666664</v>
      </c>
      <c r="DE52" s="252">
        <v>1.2016666666666667</v>
      </c>
      <c r="DF52" s="252">
        <v>3.0041666666666664</v>
      </c>
      <c r="DG52" s="694" t="s">
        <v>279</v>
      </c>
      <c r="DH52" s="1202"/>
      <c r="DI52" s="897">
        <v>103.95</v>
      </c>
      <c r="DJ52" s="1209">
        <v>0.1111111111111111</v>
      </c>
      <c r="DK52" s="1209">
        <v>0.11550000000000001</v>
      </c>
      <c r="DL52" s="293">
        <v>0.28875000000000001</v>
      </c>
      <c r="DM52" s="252">
        <v>1.3171666666666666</v>
      </c>
      <c r="DN52" s="252">
        <v>3.2929166666666667</v>
      </c>
      <c r="DO52" s="694" t="s">
        <v>279</v>
      </c>
      <c r="DP52" s="1202"/>
      <c r="DQ52" s="897">
        <v>0</v>
      </c>
      <c r="DR52" s="1209">
        <v>0.1111111111111111</v>
      </c>
      <c r="DS52" s="1209"/>
      <c r="DT52" s="293">
        <v>0</v>
      </c>
      <c r="DU52" s="252">
        <v>1.3171666666666666</v>
      </c>
      <c r="DV52" s="252">
        <v>3.2929166666666667</v>
      </c>
      <c r="DW52" s="694" t="s">
        <v>279</v>
      </c>
      <c r="DX52" s="1202"/>
      <c r="DY52" s="897">
        <v>0</v>
      </c>
      <c r="DZ52" s="1209">
        <v>0.1111111111111111</v>
      </c>
      <c r="EA52" s="1209"/>
      <c r="EB52" s="293">
        <v>0</v>
      </c>
      <c r="EC52" s="245">
        <v>1.3171666666666666</v>
      </c>
      <c r="ED52" s="295">
        <v>3.2929166666666667</v>
      </c>
      <c r="EE52" s="246" t="s">
        <v>279</v>
      </c>
      <c r="EF52" s="323"/>
      <c r="EG52" s="897">
        <v>34.650000000000006</v>
      </c>
      <c r="EH52" s="245">
        <v>0.33333333333333331</v>
      </c>
      <c r="EI52" s="245">
        <v>0.11550000000000001</v>
      </c>
      <c r="EJ52" s="413">
        <v>0.28875000000000001</v>
      </c>
      <c r="EK52" s="245">
        <v>1.3171666666666666</v>
      </c>
      <c r="EL52" s="295">
        <v>3.2929166666666667</v>
      </c>
      <c r="EM52" s="246" t="s">
        <v>279</v>
      </c>
      <c r="EN52" s="323"/>
      <c r="EO52" s="897">
        <v>50.737500000000004</v>
      </c>
      <c r="EP52" s="245">
        <v>0.44444444444444442</v>
      </c>
      <c r="EQ52" s="245">
        <v>0.22550000000000001</v>
      </c>
      <c r="ER52" s="413">
        <v>0.56374999999999997</v>
      </c>
      <c r="ES52" s="245">
        <v>1.3171666666666666</v>
      </c>
      <c r="ET52" s="295">
        <v>3.2929166666666667</v>
      </c>
      <c r="EU52" s="246" t="s">
        <v>279</v>
      </c>
      <c r="EV52" s="323"/>
      <c r="EW52" s="897">
        <v>296.36250000000001</v>
      </c>
      <c r="EX52" s="245">
        <v>0.44444444444444442</v>
      </c>
      <c r="EY52" s="245">
        <v>1.3171666666666666</v>
      </c>
      <c r="EZ52" s="413">
        <v>3.2929166666666667</v>
      </c>
      <c r="FA52" s="245">
        <v>1.3171666666666666</v>
      </c>
      <c r="FB52" s="295">
        <v>3.2929166666666667</v>
      </c>
      <c r="FC52" s="246" t="s">
        <v>279</v>
      </c>
    </row>
    <row r="53" spans="2:159" ht="20.100000000000001" customHeight="1">
      <c r="B53" s="1733"/>
      <c r="C53" s="1819"/>
      <c r="D53" s="191" t="s">
        <v>10</v>
      </c>
      <c r="E53" s="886" t="s">
        <v>11</v>
      </c>
      <c r="F53" s="873">
        <v>1</v>
      </c>
      <c r="G53" s="874">
        <v>35</v>
      </c>
      <c r="H53" s="1198"/>
      <c r="I53" s="1206">
        <v>18.75</v>
      </c>
      <c r="J53" s="291">
        <v>1</v>
      </c>
      <c r="K53" s="313">
        <v>0.33428571428571424</v>
      </c>
      <c r="L53" s="305">
        <v>11.7</v>
      </c>
      <c r="M53" s="1200"/>
      <c r="N53" s="291">
        <v>1</v>
      </c>
      <c r="O53" s="293">
        <v>1.6657142857142857</v>
      </c>
      <c r="P53" s="1200"/>
      <c r="Q53" s="291">
        <v>2.5</v>
      </c>
      <c r="R53" s="313">
        <v>4.1642857142857148E-2</v>
      </c>
      <c r="S53" s="293">
        <v>1.4575000000000002</v>
      </c>
      <c r="T53" s="1201"/>
      <c r="U53" s="291">
        <v>5</v>
      </c>
      <c r="V53" s="313">
        <v>8.3285714285714296E-2</v>
      </c>
      <c r="W53" s="293">
        <v>2.9150000000000005</v>
      </c>
      <c r="X53" s="1200"/>
      <c r="Y53" s="291">
        <v>5</v>
      </c>
      <c r="Z53" s="313">
        <v>8.3285714285714296E-2</v>
      </c>
      <c r="AA53" s="293">
        <v>2.9150000000000005</v>
      </c>
      <c r="AB53" s="1200"/>
      <c r="AC53" s="294">
        <v>4.166666666666667</v>
      </c>
      <c r="AD53" s="252">
        <v>6.9404761904761914E-2</v>
      </c>
      <c r="AE53" s="293">
        <v>2.4291666666666671</v>
      </c>
      <c r="AF53" s="1202"/>
      <c r="AG53" s="897">
        <v>100</v>
      </c>
      <c r="AH53" s="1207">
        <v>1</v>
      </c>
      <c r="AI53" s="1207">
        <v>1</v>
      </c>
      <c r="AJ53" s="313">
        <v>35</v>
      </c>
      <c r="AK53" s="252">
        <v>1.069404761904762</v>
      </c>
      <c r="AL53" s="252">
        <v>37.429166666666667</v>
      </c>
      <c r="AM53" s="694" t="s">
        <v>279</v>
      </c>
      <c r="AN53" s="1202"/>
      <c r="AO53" s="897">
        <v>0</v>
      </c>
      <c r="AP53" s="1207">
        <v>0</v>
      </c>
      <c r="AQ53" s="1207">
        <v>0</v>
      </c>
      <c r="AR53" s="293">
        <v>0</v>
      </c>
      <c r="AS53" s="252">
        <v>1.069404761904762</v>
      </c>
      <c r="AT53" s="252">
        <v>37.429166666666667</v>
      </c>
      <c r="AU53" s="694" t="s">
        <v>279</v>
      </c>
      <c r="AV53" s="1202"/>
      <c r="AW53" s="897">
        <v>0</v>
      </c>
      <c r="AX53" s="1208">
        <v>0</v>
      </c>
      <c r="AY53" s="1208">
        <v>0</v>
      </c>
      <c r="AZ53" s="293">
        <v>0</v>
      </c>
      <c r="BA53" s="252">
        <v>1.069404761904762</v>
      </c>
      <c r="BB53" s="252">
        <v>37.429166666666667</v>
      </c>
      <c r="BC53" s="694" t="s">
        <v>279</v>
      </c>
      <c r="BD53" s="1202"/>
      <c r="BE53" s="897">
        <v>100</v>
      </c>
      <c r="BF53" s="252">
        <v>1</v>
      </c>
      <c r="BG53" s="252">
        <v>1</v>
      </c>
      <c r="BH53" s="903">
        <v>35</v>
      </c>
      <c r="BI53" s="252">
        <v>1.069404761904762</v>
      </c>
      <c r="BJ53" s="252">
        <v>37.429166666666667</v>
      </c>
      <c r="BK53" s="694" t="s">
        <v>279</v>
      </c>
      <c r="BL53" s="1202"/>
      <c r="BM53" s="897">
        <v>0</v>
      </c>
      <c r="BN53" s="252"/>
      <c r="BO53" s="252">
        <v>1.069404761904762</v>
      </c>
      <c r="BP53" s="903">
        <v>37.429166666666667</v>
      </c>
      <c r="BQ53" s="252">
        <v>1.069404761904762</v>
      </c>
      <c r="BR53" s="252">
        <v>37.429166666666667</v>
      </c>
      <c r="BS53" s="694" t="s">
        <v>279</v>
      </c>
      <c r="BT53" s="1202"/>
      <c r="BU53" s="897">
        <v>0</v>
      </c>
      <c r="BV53" s="1209">
        <v>0</v>
      </c>
      <c r="BW53" s="1209">
        <v>0</v>
      </c>
      <c r="BX53" s="293">
        <v>0</v>
      </c>
      <c r="BY53" s="252">
        <v>1.069404761904762</v>
      </c>
      <c r="BZ53" s="252">
        <v>37.429166666666667</v>
      </c>
      <c r="CA53" s="694" t="s">
        <v>279</v>
      </c>
      <c r="CB53" s="1202"/>
      <c r="CC53" s="897">
        <v>0</v>
      </c>
      <c r="CD53" s="1209">
        <v>0</v>
      </c>
      <c r="CE53" s="1209">
        <v>0</v>
      </c>
      <c r="CF53" s="293">
        <v>0</v>
      </c>
      <c r="CG53" s="899">
        <v>1.069404761904762</v>
      </c>
      <c r="CH53" s="252">
        <v>37.429166666666667</v>
      </c>
      <c r="CI53" s="694" t="s">
        <v>279</v>
      </c>
      <c r="CJ53" s="1202"/>
      <c r="CK53" s="897">
        <v>102.65866209262438</v>
      </c>
      <c r="CL53" s="1209">
        <v>0.18507936507936507</v>
      </c>
      <c r="CM53" s="1209">
        <v>0.19</v>
      </c>
      <c r="CN53" s="293">
        <v>6.65</v>
      </c>
      <c r="CO53" s="252">
        <v>1.2594047619047619</v>
      </c>
      <c r="CP53" s="252">
        <v>44.079166666666666</v>
      </c>
      <c r="CQ53" s="694" t="s">
        <v>279</v>
      </c>
      <c r="CR53" s="1202"/>
      <c r="CS53" s="897">
        <v>102.65866209262438</v>
      </c>
      <c r="CT53" s="252">
        <v>0.18507936507936507</v>
      </c>
      <c r="CU53" s="252">
        <v>0.19</v>
      </c>
      <c r="CV53" s="293">
        <v>6.65</v>
      </c>
      <c r="CW53" s="252">
        <v>1.2594047619047619</v>
      </c>
      <c r="CX53" s="252">
        <v>44.079166666666666</v>
      </c>
      <c r="CY53" s="694" t="s">
        <v>279</v>
      </c>
      <c r="CZ53" s="1202"/>
      <c r="DA53" s="897">
        <v>680.46740994854213</v>
      </c>
      <c r="DB53" s="252">
        <v>0.18507936507936507</v>
      </c>
      <c r="DC53" s="252">
        <v>1.2594047619047619</v>
      </c>
      <c r="DD53" s="293">
        <v>44.079166666666666</v>
      </c>
      <c r="DE53" s="252">
        <v>1.2594047619047619</v>
      </c>
      <c r="DF53" s="252">
        <v>44.079166666666666</v>
      </c>
      <c r="DG53" s="694" t="s">
        <v>279</v>
      </c>
      <c r="DH53" s="1202"/>
      <c r="DI53" s="897">
        <v>107.79159519725559</v>
      </c>
      <c r="DJ53" s="1209">
        <v>0.18507936507936507</v>
      </c>
      <c r="DK53" s="1209">
        <v>0.19950000000000001</v>
      </c>
      <c r="DL53" s="293">
        <v>6.9824999999999999</v>
      </c>
      <c r="DM53" s="252">
        <v>1.4589047619047619</v>
      </c>
      <c r="DN53" s="252">
        <v>51.061666666666667</v>
      </c>
      <c r="DO53" s="694" t="s">
        <v>279</v>
      </c>
      <c r="DP53" s="1202"/>
      <c r="DQ53" s="897">
        <v>0</v>
      </c>
      <c r="DR53" s="1209">
        <v>0.18507936507936507</v>
      </c>
      <c r="DS53" s="1209"/>
      <c r="DT53" s="293">
        <v>0</v>
      </c>
      <c r="DU53" s="252">
        <v>1.4589047619047619</v>
      </c>
      <c r="DV53" s="252">
        <v>51.061666666666667</v>
      </c>
      <c r="DW53" s="694" t="s">
        <v>279</v>
      </c>
      <c r="DX53" s="1202"/>
      <c r="DY53" s="897">
        <v>0</v>
      </c>
      <c r="DZ53" s="1209">
        <v>0.18507936507936507</v>
      </c>
      <c r="EA53" s="1209"/>
      <c r="EB53" s="293">
        <v>0</v>
      </c>
      <c r="EC53" s="245">
        <v>1.4589047619047619</v>
      </c>
      <c r="ED53" s="295">
        <v>51.061666666666667</v>
      </c>
      <c r="EE53" s="246" t="s">
        <v>279</v>
      </c>
      <c r="EF53" s="323"/>
      <c r="EG53" s="897">
        <v>35.93053173241853</v>
      </c>
      <c r="EH53" s="245">
        <v>0.5552380952380952</v>
      </c>
      <c r="EI53" s="245">
        <v>0.19950000000000001</v>
      </c>
      <c r="EJ53" s="413">
        <v>6.9824999999999999</v>
      </c>
      <c r="EK53" s="245">
        <v>1.4589047619047619</v>
      </c>
      <c r="EL53" s="295">
        <v>51.061666666666667</v>
      </c>
      <c r="EM53" s="246" t="s">
        <v>279</v>
      </c>
      <c r="EN53" s="323"/>
      <c r="EO53" s="897">
        <v>52.612564322469993</v>
      </c>
      <c r="EP53" s="245">
        <v>0.74031746031746026</v>
      </c>
      <c r="EQ53" s="245">
        <v>0.38950000000000001</v>
      </c>
      <c r="ER53" s="413">
        <v>13.6325</v>
      </c>
      <c r="ES53" s="245">
        <v>1.4589047619047619</v>
      </c>
      <c r="ET53" s="295">
        <v>51.061666666666667</v>
      </c>
      <c r="EU53" s="246" t="s">
        <v>279</v>
      </c>
      <c r="EV53" s="323"/>
      <c r="EW53" s="897">
        <v>197.06475128644942</v>
      </c>
      <c r="EX53" s="245">
        <v>0.74031746031746026</v>
      </c>
      <c r="EY53" s="245">
        <v>1.4589047619047619</v>
      </c>
      <c r="EZ53" s="413">
        <v>51.061666666666667</v>
      </c>
      <c r="FA53" s="245">
        <v>1.4589047619047619</v>
      </c>
      <c r="FB53" s="295">
        <v>51.061666666666667</v>
      </c>
      <c r="FC53" s="246" t="s">
        <v>279</v>
      </c>
    </row>
    <row r="54" spans="2:159" ht="20.100000000000001" customHeight="1">
      <c r="B54" s="1733"/>
      <c r="C54" s="1819"/>
      <c r="D54" s="191" t="s">
        <v>213</v>
      </c>
      <c r="E54" s="886" t="s">
        <v>11</v>
      </c>
      <c r="F54" s="873">
        <v>1</v>
      </c>
      <c r="G54" s="874">
        <v>10</v>
      </c>
      <c r="H54" s="1198"/>
      <c r="I54" s="1206">
        <v>4</v>
      </c>
      <c r="J54" s="291">
        <v>1</v>
      </c>
      <c r="K54" s="313">
        <v>0.85</v>
      </c>
      <c r="L54" s="305">
        <v>8.5</v>
      </c>
      <c r="M54" s="1200"/>
      <c r="N54" s="291">
        <v>1</v>
      </c>
      <c r="O54" s="293">
        <v>0</v>
      </c>
      <c r="P54" s="1200"/>
      <c r="Q54" s="291">
        <v>10</v>
      </c>
      <c r="R54" s="313">
        <v>0</v>
      </c>
      <c r="S54" s="293">
        <v>0</v>
      </c>
      <c r="T54" s="1201"/>
      <c r="U54" s="291">
        <v>7.5</v>
      </c>
      <c r="V54" s="313">
        <v>0</v>
      </c>
      <c r="W54" s="293">
        <v>0</v>
      </c>
      <c r="X54" s="1200"/>
      <c r="Y54" s="291">
        <v>10</v>
      </c>
      <c r="Z54" s="313">
        <v>0</v>
      </c>
      <c r="AA54" s="293">
        <v>0</v>
      </c>
      <c r="AB54" s="1200"/>
      <c r="AC54" s="294">
        <v>9.1666666666666661</v>
      </c>
      <c r="AD54" s="252">
        <v>0</v>
      </c>
      <c r="AE54" s="293">
        <v>0</v>
      </c>
      <c r="AF54" s="1202"/>
      <c r="AG54" s="897">
        <v>0</v>
      </c>
      <c r="AH54" s="1207">
        <v>1</v>
      </c>
      <c r="AI54" s="1207">
        <v>0</v>
      </c>
      <c r="AJ54" s="313">
        <v>0</v>
      </c>
      <c r="AK54" s="252">
        <v>0</v>
      </c>
      <c r="AL54" s="252">
        <v>0</v>
      </c>
      <c r="AM54" s="694" t="s">
        <v>279</v>
      </c>
      <c r="AN54" s="1202"/>
      <c r="AO54" s="897">
        <v>0</v>
      </c>
      <c r="AP54" s="1207">
        <v>0</v>
      </c>
      <c r="AQ54" s="1207">
        <v>1</v>
      </c>
      <c r="AR54" s="293">
        <v>10</v>
      </c>
      <c r="AS54" s="252">
        <v>1</v>
      </c>
      <c r="AT54" s="252">
        <v>10</v>
      </c>
      <c r="AU54" s="694" t="s">
        <v>279</v>
      </c>
      <c r="AV54" s="1202"/>
      <c r="AW54" s="897">
        <v>0</v>
      </c>
      <c r="AX54" s="1208">
        <v>0</v>
      </c>
      <c r="AY54" s="1208">
        <v>0</v>
      </c>
      <c r="AZ54" s="293">
        <v>0</v>
      </c>
      <c r="BA54" s="252">
        <v>1</v>
      </c>
      <c r="BB54" s="252">
        <v>10</v>
      </c>
      <c r="BC54" s="694" t="s">
        <v>279</v>
      </c>
      <c r="BD54" s="1202"/>
      <c r="BE54" s="897">
        <v>100</v>
      </c>
      <c r="BF54" s="252">
        <v>1</v>
      </c>
      <c r="BG54" s="252">
        <v>1</v>
      </c>
      <c r="BH54" s="293">
        <v>10</v>
      </c>
      <c r="BI54" s="252">
        <v>1</v>
      </c>
      <c r="BJ54" s="252">
        <v>10</v>
      </c>
      <c r="BK54" s="694" t="s">
        <v>279</v>
      </c>
      <c r="BL54" s="1202"/>
      <c r="BM54" s="897">
        <v>0</v>
      </c>
      <c r="BN54" s="252"/>
      <c r="BO54" s="252">
        <v>1</v>
      </c>
      <c r="BP54" s="293">
        <v>10</v>
      </c>
      <c r="BQ54" s="252">
        <v>1</v>
      </c>
      <c r="BR54" s="252">
        <v>10</v>
      </c>
      <c r="BS54" s="694" t="s">
        <v>279</v>
      </c>
      <c r="BT54" s="1202"/>
      <c r="BU54" s="897">
        <v>0</v>
      </c>
      <c r="BV54" s="1209">
        <v>0</v>
      </c>
      <c r="BW54" s="1209">
        <v>0</v>
      </c>
      <c r="BX54" s="293">
        <v>0</v>
      </c>
      <c r="BY54" s="252">
        <v>1</v>
      </c>
      <c r="BZ54" s="252">
        <v>10</v>
      </c>
      <c r="CA54" s="694" t="s">
        <v>279</v>
      </c>
      <c r="CB54" s="1202"/>
      <c r="CC54" s="897">
        <v>0</v>
      </c>
      <c r="CD54" s="1209">
        <v>0</v>
      </c>
      <c r="CE54" s="1209">
        <v>0</v>
      </c>
      <c r="CF54" s="293">
        <v>0</v>
      </c>
      <c r="CG54" s="899">
        <v>1</v>
      </c>
      <c r="CH54" s="252">
        <v>10</v>
      </c>
      <c r="CI54" s="694" t="s">
        <v>279</v>
      </c>
      <c r="CJ54" s="1202"/>
      <c r="CK54" s="897">
        <v>0</v>
      </c>
      <c r="CL54" s="1209">
        <v>0</v>
      </c>
      <c r="CM54" s="1209">
        <v>0</v>
      </c>
      <c r="CN54" s="293">
        <v>0</v>
      </c>
      <c r="CO54" s="252">
        <v>1</v>
      </c>
      <c r="CP54" s="252">
        <v>10</v>
      </c>
      <c r="CQ54" s="694" t="s">
        <v>279</v>
      </c>
      <c r="CR54" s="1202"/>
      <c r="CS54" s="897">
        <v>0</v>
      </c>
      <c r="CT54" s="252">
        <v>0</v>
      </c>
      <c r="CU54" s="252">
        <v>0</v>
      </c>
      <c r="CV54" s="293">
        <v>0</v>
      </c>
      <c r="CW54" s="252">
        <v>1</v>
      </c>
      <c r="CX54" s="252">
        <v>10</v>
      </c>
      <c r="CY54" s="694" t="s">
        <v>279</v>
      </c>
      <c r="CZ54" s="1202"/>
      <c r="DA54" s="897">
        <v>0</v>
      </c>
      <c r="DB54" s="252">
        <v>0</v>
      </c>
      <c r="DC54" s="252">
        <v>1</v>
      </c>
      <c r="DD54" s="293">
        <v>10</v>
      </c>
      <c r="DE54" s="252">
        <v>1</v>
      </c>
      <c r="DF54" s="252">
        <v>10</v>
      </c>
      <c r="DG54" s="694" t="s">
        <v>279</v>
      </c>
      <c r="DH54" s="1202"/>
      <c r="DI54" s="897">
        <v>0</v>
      </c>
      <c r="DJ54" s="1209">
        <v>0</v>
      </c>
      <c r="DK54" s="1209">
        <v>0</v>
      </c>
      <c r="DL54" s="293">
        <v>0</v>
      </c>
      <c r="DM54" s="252">
        <v>1</v>
      </c>
      <c r="DN54" s="252">
        <v>10</v>
      </c>
      <c r="DO54" s="694" t="s">
        <v>279</v>
      </c>
      <c r="DP54" s="1202"/>
      <c r="DQ54" s="897">
        <v>0</v>
      </c>
      <c r="DR54" s="1209">
        <v>0</v>
      </c>
      <c r="DS54" s="1209"/>
      <c r="DT54" s="293">
        <v>0</v>
      </c>
      <c r="DU54" s="252">
        <v>1</v>
      </c>
      <c r="DV54" s="252">
        <v>10</v>
      </c>
      <c r="DW54" s="694" t="s">
        <v>279</v>
      </c>
      <c r="DX54" s="1202"/>
      <c r="DY54" s="897">
        <v>0</v>
      </c>
      <c r="DZ54" s="1209">
        <v>0</v>
      </c>
      <c r="EA54" s="1209"/>
      <c r="EB54" s="293">
        <v>0</v>
      </c>
      <c r="EC54" s="245">
        <v>1</v>
      </c>
      <c r="ED54" s="295">
        <v>10</v>
      </c>
      <c r="EE54" s="246" t="s">
        <v>279</v>
      </c>
      <c r="EF54" s="323"/>
      <c r="EG54" s="897">
        <v>0</v>
      </c>
      <c r="EH54" s="245">
        <v>0</v>
      </c>
      <c r="EI54" s="245">
        <v>0</v>
      </c>
      <c r="EJ54" s="413">
        <v>0</v>
      </c>
      <c r="EK54" s="245">
        <v>1</v>
      </c>
      <c r="EL54" s="295">
        <v>10</v>
      </c>
      <c r="EM54" s="246" t="s">
        <v>279</v>
      </c>
      <c r="EN54" s="323"/>
      <c r="EO54" s="897">
        <v>0</v>
      </c>
      <c r="EP54" s="245">
        <v>0</v>
      </c>
      <c r="EQ54" s="245">
        <v>0</v>
      </c>
      <c r="ER54" s="413">
        <v>0</v>
      </c>
      <c r="ES54" s="245">
        <v>1</v>
      </c>
      <c r="ET54" s="295">
        <v>10</v>
      </c>
      <c r="EU54" s="246" t="s">
        <v>279</v>
      </c>
      <c r="EV54" s="323"/>
      <c r="EW54" s="897">
        <v>0</v>
      </c>
      <c r="EX54" s="245">
        <v>0</v>
      </c>
      <c r="EY54" s="245">
        <v>1</v>
      </c>
      <c r="EZ54" s="413">
        <v>10</v>
      </c>
      <c r="FA54" s="245">
        <v>1</v>
      </c>
      <c r="FB54" s="295">
        <v>10</v>
      </c>
      <c r="FC54" s="246" t="s">
        <v>279</v>
      </c>
    </row>
    <row r="55" spans="2:159" ht="20.100000000000001" customHeight="1">
      <c r="B55" s="1733"/>
      <c r="C55" s="1819"/>
      <c r="D55" s="191" t="s">
        <v>219</v>
      </c>
      <c r="E55" s="886" t="s">
        <v>11</v>
      </c>
      <c r="F55" s="873">
        <v>3</v>
      </c>
      <c r="G55" s="874">
        <v>40</v>
      </c>
      <c r="H55" s="1198"/>
      <c r="I55" s="1206">
        <v>0</v>
      </c>
      <c r="J55" s="291">
        <v>0</v>
      </c>
      <c r="K55" s="313">
        <v>0</v>
      </c>
      <c r="L55" s="305">
        <v>0</v>
      </c>
      <c r="M55" s="1200"/>
      <c r="N55" s="291">
        <v>3</v>
      </c>
      <c r="O55" s="293">
        <v>3</v>
      </c>
      <c r="P55" s="1200"/>
      <c r="Q55" s="291">
        <v>2.5</v>
      </c>
      <c r="R55" s="313">
        <v>7.4999999999999997E-2</v>
      </c>
      <c r="S55" s="293">
        <v>0.99999999999999989</v>
      </c>
      <c r="T55" s="1201"/>
      <c r="U55" s="291">
        <v>5</v>
      </c>
      <c r="V55" s="313">
        <v>0.15</v>
      </c>
      <c r="W55" s="293">
        <v>1.9999999999999998</v>
      </c>
      <c r="X55" s="1200"/>
      <c r="Y55" s="291">
        <v>5</v>
      </c>
      <c r="Z55" s="313">
        <v>0.15</v>
      </c>
      <c r="AA55" s="293">
        <v>1.9999999999999998</v>
      </c>
      <c r="AB55" s="1200"/>
      <c r="AC55" s="294">
        <v>4.166666666666667</v>
      </c>
      <c r="AD55" s="252">
        <v>0.125</v>
      </c>
      <c r="AE55" s="293">
        <v>1.6666666666666665</v>
      </c>
      <c r="AF55" s="1202"/>
      <c r="AG55" s="897">
        <v>0</v>
      </c>
      <c r="AH55" s="1207">
        <v>0.25</v>
      </c>
      <c r="AI55" s="1207">
        <v>0</v>
      </c>
      <c r="AJ55" s="313">
        <v>0</v>
      </c>
      <c r="AK55" s="252">
        <v>0.125</v>
      </c>
      <c r="AL55" s="252">
        <v>1.6666666666666665</v>
      </c>
      <c r="AM55" s="694" t="s">
        <v>279</v>
      </c>
      <c r="AN55" s="1202"/>
      <c r="AO55" s="897">
        <v>0</v>
      </c>
      <c r="AP55" s="1207">
        <v>0.25</v>
      </c>
      <c r="AQ55" s="1207">
        <v>0</v>
      </c>
      <c r="AR55" s="293">
        <v>0</v>
      </c>
      <c r="AS55" s="252">
        <v>0.125</v>
      </c>
      <c r="AT55" s="252">
        <v>1.6666666666666665</v>
      </c>
      <c r="AU55" s="694" t="s">
        <v>279</v>
      </c>
      <c r="AV55" s="1202"/>
      <c r="AW55" s="897">
        <v>0</v>
      </c>
      <c r="AX55" s="1207">
        <v>0.25</v>
      </c>
      <c r="AY55" s="1208">
        <v>0</v>
      </c>
      <c r="AZ55" s="293">
        <v>0</v>
      </c>
      <c r="BA55" s="252">
        <v>0.125</v>
      </c>
      <c r="BB55" s="252">
        <v>1.6666666666666665</v>
      </c>
      <c r="BC55" s="694" t="s">
        <v>279</v>
      </c>
      <c r="BD55" s="1202"/>
      <c r="BE55" s="897">
        <v>0</v>
      </c>
      <c r="BF55" s="252">
        <v>0.75</v>
      </c>
      <c r="BG55" s="252">
        <v>0</v>
      </c>
      <c r="BH55" s="293">
        <v>0</v>
      </c>
      <c r="BI55" s="252">
        <v>0.125</v>
      </c>
      <c r="BJ55" s="252">
        <v>1.6666666666666665</v>
      </c>
      <c r="BK55" s="694" t="s">
        <v>279</v>
      </c>
      <c r="BL55" s="1202"/>
      <c r="BM55" s="897">
        <v>0</v>
      </c>
      <c r="BN55" s="252"/>
      <c r="BO55" s="252">
        <v>0.125</v>
      </c>
      <c r="BP55" s="293">
        <v>1.6666666666666665</v>
      </c>
      <c r="BQ55" s="252">
        <v>0.125</v>
      </c>
      <c r="BR55" s="252">
        <v>1.6666666666666665</v>
      </c>
      <c r="BS55" s="694" t="s">
        <v>279</v>
      </c>
      <c r="BT55" s="1202"/>
      <c r="BU55" s="897">
        <v>0</v>
      </c>
      <c r="BV55" s="1207">
        <v>0.25</v>
      </c>
      <c r="BW55" s="1209">
        <v>0</v>
      </c>
      <c r="BX55" s="293">
        <v>0</v>
      </c>
      <c r="BY55" s="252">
        <v>0.125</v>
      </c>
      <c r="BZ55" s="252">
        <v>1.6666666666666665</v>
      </c>
      <c r="CA55" s="694" t="s">
        <v>279</v>
      </c>
      <c r="CB55" s="1202"/>
      <c r="CC55" s="897">
        <v>0</v>
      </c>
      <c r="CD55" s="1207">
        <v>0.33333333333333331</v>
      </c>
      <c r="CE55" s="1209">
        <v>0</v>
      </c>
      <c r="CF55" s="293">
        <v>0</v>
      </c>
      <c r="CG55" s="899">
        <v>0.125</v>
      </c>
      <c r="CH55" s="252">
        <v>1.6666666666666665</v>
      </c>
      <c r="CI55" s="694" t="s">
        <v>279</v>
      </c>
      <c r="CJ55" s="1202"/>
      <c r="CK55" s="897">
        <v>60.000000000000007</v>
      </c>
      <c r="CL55" s="1209">
        <v>0.33333333333333331</v>
      </c>
      <c r="CM55" s="1209">
        <v>0.2</v>
      </c>
      <c r="CN55" s="293">
        <v>2.666666666666667</v>
      </c>
      <c r="CO55" s="252">
        <v>0.32500000000000001</v>
      </c>
      <c r="CP55" s="252">
        <v>4.3333333333333339</v>
      </c>
      <c r="CQ55" s="694" t="s">
        <v>279</v>
      </c>
      <c r="CR55" s="1202"/>
      <c r="CS55" s="897">
        <v>21.818181818181824</v>
      </c>
      <c r="CT55" s="252">
        <v>0.91666666666666652</v>
      </c>
      <c r="CU55" s="252">
        <v>0.2</v>
      </c>
      <c r="CV55" s="293">
        <v>2.666666666666667</v>
      </c>
      <c r="CW55" s="252">
        <v>0.32500000000000001</v>
      </c>
      <c r="CX55" s="252">
        <v>4.3333333333333339</v>
      </c>
      <c r="CY55" s="694" t="s">
        <v>279</v>
      </c>
      <c r="CZ55" s="1202"/>
      <c r="DA55" s="897">
        <v>35.45454545454546</v>
      </c>
      <c r="DB55" s="252">
        <v>0.91666666666666652</v>
      </c>
      <c r="DC55" s="252">
        <v>0.32500000000000001</v>
      </c>
      <c r="DD55" s="293">
        <v>4.3333333333333339</v>
      </c>
      <c r="DE55" s="252">
        <v>0.32500000000000001</v>
      </c>
      <c r="DF55" s="252">
        <v>4.3333333333333339</v>
      </c>
      <c r="DG55" s="694" t="s">
        <v>279</v>
      </c>
      <c r="DH55" s="1202"/>
      <c r="DI55" s="897">
        <v>63.000000000000014</v>
      </c>
      <c r="DJ55" s="1209">
        <v>0.33333333333333331</v>
      </c>
      <c r="DK55" s="1209">
        <v>0.21000000000000002</v>
      </c>
      <c r="DL55" s="293">
        <v>2.8000000000000003</v>
      </c>
      <c r="DM55" s="252">
        <v>0.53500000000000003</v>
      </c>
      <c r="DN55" s="252">
        <v>7.1333333333333337</v>
      </c>
      <c r="DO55" s="694" t="s">
        <v>279</v>
      </c>
      <c r="DP55" s="1202"/>
      <c r="DQ55" s="897">
        <v>0</v>
      </c>
      <c r="DR55" s="1209">
        <v>0.33333333333333331</v>
      </c>
      <c r="DS55" s="1209"/>
      <c r="DT55" s="293">
        <v>0</v>
      </c>
      <c r="DU55" s="252">
        <v>0.53500000000000003</v>
      </c>
      <c r="DV55" s="252">
        <v>7.1333333333333337</v>
      </c>
      <c r="DW55" s="694" t="s">
        <v>279</v>
      </c>
      <c r="DX55" s="1202"/>
      <c r="DY55" s="897">
        <v>0</v>
      </c>
      <c r="DZ55" s="1209">
        <v>0.33333333333333331</v>
      </c>
      <c r="EA55" s="1209"/>
      <c r="EB55" s="293">
        <v>0</v>
      </c>
      <c r="EC55" s="245">
        <v>0.53500000000000003</v>
      </c>
      <c r="ED55" s="295">
        <v>7.1333333333333337</v>
      </c>
      <c r="EE55" s="246" t="s">
        <v>279</v>
      </c>
      <c r="EF55" s="323"/>
      <c r="EG55" s="897">
        <v>21.000000000000004</v>
      </c>
      <c r="EH55" s="245">
        <v>1</v>
      </c>
      <c r="EI55" s="245">
        <v>0.21000000000000002</v>
      </c>
      <c r="EJ55" s="413">
        <v>2.8000000000000003</v>
      </c>
      <c r="EK55" s="245">
        <v>0.53500000000000003</v>
      </c>
      <c r="EL55" s="295">
        <v>7.1333333333333337</v>
      </c>
      <c r="EM55" s="246" t="s">
        <v>279</v>
      </c>
      <c r="EN55" s="323"/>
      <c r="EO55" s="897">
        <v>21.39130434782609</v>
      </c>
      <c r="EP55" s="245">
        <v>1.9166666666666665</v>
      </c>
      <c r="EQ55" s="245">
        <v>0.41000000000000003</v>
      </c>
      <c r="ER55" s="413">
        <v>5.4666666666666677</v>
      </c>
      <c r="ES55" s="245">
        <v>0.53500000000000003</v>
      </c>
      <c r="ET55" s="295">
        <v>7.1333333333333337</v>
      </c>
      <c r="EU55" s="246" t="s">
        <v>279</v>
      </c>
      <c r="EV55" s="323"/>
      <c r="EW55" s="897">
        <v>27.913043478260875</v>
      </c>
      <c r="EX55" s="245">
        <v>1.9166666666666665</v>
      </c>
      <c r="EY55" s="245">
        <v>0.53500000000000003</v>
      </c>
      <c r="EZ55" s="413">
        <v>7.1333333333333337</v>
      </c>
      <c r="FA55" s="245">
        <v>0.53500000000000003</v>
      </c>
      <c r="FB55" s="295">
        <v>7.1333333333333337</v>
      </c>
      <c r="FC55" s="246" t="s">
        <v>279</v>
      </c>
    </row>
    <row r="56" spans="2:159" ht="20.100000000000001" customHeight="1">
      <c r="B56" s="1733"/>
      <c r="C56" s="1819"/>
      <c r="D56" s="192" t="s">
        <v>220</v>
      </c>
      <c r="E56" s="886" t="s">
        <v>11</v>
      </c>
      <c r="F56" s="873">
        <v>4</v>
      </c>
      <c r="G56" s="874">
        <v>5</v>
      </c>
      <c r="H56" s="1198"/>
      <c r="I56" s="1206">
        <v>0</v>
      </c>
      <c r="J56" s="291">
        <v>0</v>
      </c>
      <c r="K56" s="313">
        <v>0</v>
      </c>
      <c r="L56" s="305">
        <v>0</v>
      </c>
      <c r="M56" s="1200"/>
      <c r="N56" s="291">
        <v>0</v>
      </c>
      <c r="O56" s="293">
        <v>0</v>
      </c>
      <c r="P56" s="1200"/>
      <c r="Q56" s="291">
        <v>5</v>
      </c>
      <c r="R56" s="313">
        <v>0</v>
      </c>
      <c r="S56" s="293">
        <v>0</v>
      </c>
      <c r="T56" s="1201"/>
      <c r="U56" s="291">
        <v>7.5</v>
      </c>
      <c r="V56" s="313">
        <v>0</v>
      </c>
      <c r="W56" s="293">
        <v>0</v>
      </c>
      <c r="X56" s="1200"/>
      <c r="Y56" s="291">
        <v>7.5</v>
      </c>
      <c r="Z56" s="313">
        <v>0</v>
      </c>
      <c r="AA56" s="293">
        <v>0</v>
      </c>
      <c r="AB56" s="1200"/>
      <c r="AC56" s="294">
        <v>6.666666666666667</v>
      </c>
      <c r="AD56" s="252">
        <v>0</v>
      </c>
      <c r="AE56" s="293">
        <v>0</v>
      </c>
      <c r="AF56" s="1202"/>
      <c r="AG56" s="897">
        <v>0</v>
      </c>
      <c r="AH56" s="1207">
        <v>1</v>
      </c>
      <c r="AI56" s="1207">
        <v>0</v>
      </c>
      <c r="AJ56" s="313">
        <v>0</v>
      </c>
      <c r="AK56" s="252">
        <v>0</v>
      </c>
      <c r="AL56" s="252">
        <v>0</v>
      </c>
      <c r="AM56" s="694" t="s">
        <v>279</v>
      </c>
      <c r="AN56" s="1202"/>
      <c r="AO56" s="897">
        <v>0</v>
      </c>
      <c r="AP56" s="1207">
        <v>0</v>
      </c>
      <c r="AQ56" s="1207">
        <v>0</v>
      </c>
      <c r="AR56" s="293">
        <v>0</v>
      </c>
      <c r="AS56" s="252">
        <v>0</v>
      </c>
      <c r="AT56" s="252">
        <v>0</v>
      </c>
      <c r="AU56" s="694" t="s">
        <v>279</v>
      </c>
      <c r="AV56" s="1202"/>
      <c r="AW56" s="897">
        <v>0</v>
      </c>
      <c r="AX56" s="1208">
        <v>0</v>
      </c>
      <c r="AY56" s="1208">
        <v>0</v>
      </c>
      <c r="AZ56" s="293">
        <v>0</v>
      </c>
      <c r="BA56" s="252">
        <v>0</v>
      </c>
      <c r="BB56" s="252">
        <v>0</v>
      </c>
      <c r="BC56" s="694" t="s">
        <v>279</v>
      </c>
      <c r="BD56" s="1202"/>
      <c r="BE56" s="897">
        <v>0</v>
      </c>
      <c r="BF56" s="252">
        <v>1</v>
      </c>
      <c r="BG56" s="252">
        <v>0</v>
      </c>
      <c r="BH56" s="293">
        <v>0</v>
      </c>
      <c r="BI56" s="252">
        <v>0</v>
      </c>
      <c r="BJ56" s="252">
        <v>0</v>
      </c>
      <c r="BK56" s="694" t="s">
        <v>279</v>
      </c>
      <c r="BL56" s="1202"/>
      <c r="BM56" s="897">
        <v>0</v>
      </c>
      <c r="BN56" s="252"/>
      <c r="BO56" s="252">
        <v>0</v>
      </c>
      <c r="BP56" s="293">
        <v>0</v>
      </c>
      <c r="BQ56" s="252">
        <v>0</v>
      </c>
      <c r="BR56" s="252">
        <v>0</v>
      </c>
      <c r="BS56" s="694" t="s">
        <v>279</v>
      </c>
      <c r="BT56" s="1202"/>
      <c r="BU56" s="897">
        <v>0</v>
      </c>
      <c r="BV56" s="1209">
        <v>0</v>
      </c>
      <c r="BW56" s="1209">
        <v>0</v>
      </c>
      <c r="BX56" s="293">
        <v>0</v>
      </c>
      <c r="BY56" s="252">
        <v>0</v>
      </c>
      <c r="BZ56" s="252">
        <v>0</v>
      </c>
      <c r="CA56" s="694" t="s">
        <v>279</v>
      </c>
      <c r="CB56" s="1202"/>
      <c r="CC56" s="897">
        <v>0</v>
      </c>
      <c r="CD56" s="1209">
        <v>0</v>
      </c>
      <c r="CE56" s="1209">
        <v>0</v>
      </c>
      <c r="CF56" s="293">
        <v>0</v>
      </c>
      <c r="CG56" s="899">
        <v>0</v>
      </c>
      <c r="CH56" s="252">
        <v>0</v>
      </c>
      <c r="CI56" s="694" t="s">
        <v>279</v>
      </c>
      <c r="CJ56" s="1202"/>
      <c r="CK56" s="897">
        <v>0</v>
      </c>
      <c r="CL56" s="1209">
        <v>0</v>
      </c>
      <c r="CM56" s="1209">
        <v>0</v>
      </c>
      <c r="CN56" s="293">
        <v>0</v>
      </c>
      <c r="CO56" s="252">
        <v>0</v>
      </c>
      <c r="CP56" s="252">
        <v>0</v>
      </c>
      <c r="CQ56" s="694" t="s">
        <v>279</v>
      </c>
      <c r="CR56" s="1202"/>
      <c r="CS56" s="897">
        <v>0</v>
      </c>
      <c r="CT56" s="252">
        <v>0</v>
      </c>
      <c r="CU56" s="252">
        <v>0</v>
      </c>
      <c r="CV56" s="293">
        <v>0</v>
      </c>
      <c r="CW56" s="252">
        <v>0</v>
      </c>
      <c r="CX56" s="252">
        <v>0</v>
      </c>
      <c r="CY56" s="694" t="s">
        <v>279</v>
      </c>
      <c r="CZ56" s="1202"/>
      <c r="DA56" s="897">
        <v>0</v>
      </c>
      <c r="DB56" s="252">
        <v>0</v>
      </c>
      <c r="DC56" s="252">
        <v>0</v>
      </c>
      <c r="DD56" s="293">
        <v>0</v>
      </c>
      <c r="DE56" s="252">
        <v>0</v>
      </c>
      <c r="DF56" s="252">
        <v>0</v>
      </c>
      <c r="DG56" s="694" t="s">
        <v>279</v>
      </c>
      <c r="DH56" s="1202"/>
      <c r="DI56" s="897">
        <v>0</v>
      </c>
      <c r="DJ56" s="1209">
        <v>0</v>
      </c>
      <c r="DK56" s="1209">
        <v>0</v>
      </c>
      <c r="DL56" s="293">
        <v>0</v>
      </c>
      <c r="DM56" s="252">
        <v>0</v>
      </c>
      <c r="DN56" s="252">
        <v>0</v>
      </c>
      <c r="DO56" s="694" t="s">
        <v>279</v>
      </c>
      <c r="DP56" s="1202"/>
      <c r="DQ56" s="897">
        <v>0</v>
      </c>
      <c r="DR56" s="1209">
        <v>0</v>
      </c>
      <c r="DS56" s="1209"/>
      <c r="DT56" s="293">
        <v>0</v>
      </c>
      <c r="DU56" s="252">
        <v>0</v>
      </c>
      <c r="DV56" s="252">
        <v>0</v>
      </c>
      <c r="DW56" s="694" t="s">
        <v>279</v>
      </c>
      <c r="DX56" s="1202"/>
      <c r="DY56" s="897">
        <v>0</v>
      </c>
      <c r="DZ56" s="1209">
        <v>0</v>
      </c>
      <c r="EA56" s="1209"/>
      <c r="EB56" s="293">
        <v>0</v>
      </c>
      <c r="EC56" s="245">
        <v>0</v>
      </c>
      <c r="ED56" s="295">
        <v>0</v>
      </c>
      <c r="EE56" s="246" t="s">
        <v>279</v>
      </c>
      <c r="EF56" s="323"/>
      <c r="EG56" s="897">
        <v>0</v>
      </c>
      <c r="EH56" s="245">
        <v>0</v>
      </c>
      <c r="EI56" s="245">
        <v>0</v>
      </c>
      <c r="EJ56" s="413">
        <v>0</v>
      </c>
      <c r="EK56" s="245">
        <v>0</v>
      </c>
      <c r="EL56" s="295">
        <v>0</v>
      </c>
      <c r="EM56" s="246" t="s">
        <v>279</v>
      </c>
      <c r="EN56" s="323"/>
      <c r="EO56" s="897">
        <v>0</v>
      </c>
      <c r="EP56" s="245">
        <v>0</v>
      </c>
      <c r="EQ56" s="245">
        <v>0</v>
      </c>
      <c r="ER56" s="413">
        <v>0</v>
      </c>
      <c r="ES56" s="245">
        <v>0</v>
      </c>
      <c r="ET56" s="295">
        <v>0</v>
      </c>
      <c r="EU56" s="246" t="s">
        <v>279</v>
      </c>
      <c r="EV56" s="323"/>
      <c r="EW56" s="897">
        <v>0</v>
      </c>
      <c r="EX56" s="245">
        <v>0</v>
      </c>
      <c r="EY56" s="245">
        <v>0</v>
      </c>
      <c r="EZ56" s="413">
        <v>0</v>
      </c>
      <c r="FA56" s="245">
        <v>0</v>
      </c>
      <c r="FB56" s="295">
        <v>0</v>
      </c>
      <c r="FC56" s="246" t="s">
        <v>279</v>
      </c>
    </row>
    <row r="57" spans="2:159" ht="20.100000000000001" customHeight="1" thickBot="1">
      <c r="B57" s="1735"/>
      <c r="C57" s="1822"/>
      <c r="D57" s="198" t="s">
        <v>75</v>
      </c>
      <c r="E57" s="895"/>
      <c r="F57" s="882" t="s">
        <v>4</v>
      </c>
      <c r="G57" s="883">
        <v>100</v>
      </c>
      <c r="H57" s="1220"/>
      <c r="I57" s="1221">
        <v>30.25</v>
      </c>
      <c r="J57" s="911"/>
      <c r="K57" s="912"/>
      <c r="L57" s="462">
        <v>30.2</v>
      </c>
      <c r="M57" s="1222"/>
      <c r="N57" s="911"/>
      <c r="O57" s="913"/>
      <c r="P57" s="1222"/>
      <c r="Q57" s="911" t="s">
        <v>4</v>
      </c>
      <c r="R57" s="867" t="s">
        <v>4</v>
      </c>
      <c r="S57" s="462">
        <v>2.7075</v>
      </c>
      <c r="T57" s="1223"/>
      <c r="U57" s="911"/>
      <c r="V57" s="867" t="s">
        <v>4</v>
      </c>
      <c r="W57" s="462">
        <v>5.1025</v>
      </c>
      <c r="X57" s="1222"/>
      <c r="Y57" s="911"/>
      <c r="Z57" s="868" t="s">
        <v>4</v>
      </c>
      <c r="AA57" s="462">
        <v>5.165</v>
      </c>
      <c r="AB57" s="1222"/>
      <c r="AC57" s="914"/>
      <c r="AD57" s="869" t="s">
        <v>4</v>
      </c>
      <c r="AE57" s="481">
        <v>4.3250000000000002</v>
      </c>
      <c r="AF57" s="1224"/>
      <c r="AG57" s="915"/>
      <c r="AH57" s="916"/>
      <c r="AI57" s="916"/>
      <c r="AJ57" s="480">
        <v>37.5</v>
      </c>
      <c r="AK57" s="917"/>
      <c r="AL57" s="480">
        <v>41.824999999999996</v>
      </c>
      <c r="AM57" s="481"/>
      <c r="AN57" s="1224"/>
      <c r="AO57" s="915"/>
      <c r="AP57" s="916"/>
      <c r="AQ57" s="916"/>
      <c r="AR57" s="480">
        <v>10</v>
      </c>
      <c r="AS57" s="917"/>
      <c r="AT57" s="480">
        <v>51.824999999999996</v>
      </c>
      <c r="AU57" s="481"/>
      <c r="AV57" s="1224"/>
      <c r="AW57" s="915"/>
      <c r="AX57" s="916"/>
      <c r="AY57" s="916"/>
      <c r="AZ57" s="480">
        <v>0</v>
      </c>
      <c r="BA57" s="917"/>
      <c r="BB57" s="480">
        <v>51.824999999999996</v>
      </c>
      <c r="BC57" s="481"/>
      <c r="BD57" s="1224"/>
      <c r="BE57" s="915"/>
      <c r="BF57" s="917"/>
      <c r="BG57" s="917"/>
      <c r="BH57" s="480">
        <v>47.5</v>
      </c>
      <c r="BI57" s="917"/>
      <c r="BJ57" s="480">
        <v>51.824999999999996</v>
      </c>
      <c r="BK57" s="481"/>
      <c r="BL57" s="1224"/>
      <c r="BM57" s="915"/>
      <c r="BN57" s="917"/>
      <c r="BO57" s="917"/>
      <c r="BP57" s="480">
        <v>51.824999999999996</v>
      </c>
      <c r="BQ57" s="917"/>
      <c r="BR57" s="480">
        <v>51.824999999999996</v>
      </c>
      <c r="BS57" s="481"/>
      <c r="BT57" s="1224"/>
      <c r="BU57" s="915"/>
      <c r="BV57" s="917"/>
      <c r="BW57" s="917"/>
      <c r="BX57" s="480">
        <v>0</v>
      </c>
      <c r="BY57" s="917"/>
      <c r="BZ57" s="480">
        <v>51.824999999999996</v>
      </c>
      <c r="CA57" s="481"/>
      <c r="CB57" s="1224"/>
      <c r="CC57" s="915"/>
      <c r="CD57" s="917"/>
      <c r="CE57" s="917"/>
      <c r="CF57" s="481">
        <v>0</v>
      </c>
      <c r="CG57" s="918"/>
      <c r="CH57" s="480">
        <v>51.824999999999996</v>
      </c>
      <c r="CI57" s="481"/>
      <c r="CJ57" s="1224"/>
      <c r="CK57" s="915"/>
      <c r="CL57" s="917"/>
      <c r="CM57" s="917"/>
      <c r="CN57" s="480">
        <v>9.5916666666666686</v>
      </c>
      <c r="CO57" s="917"/>
      <c r="CP57" s="480">
        <v>61.416666666666664</v>
      </c>
      <c r="CQ57" s="481"/>
      <c r="CR57" s="1224"/>
      <c r="CS57" s="915"/>
      <c r="CT57" s="917"/>
      <c r="CU57" s="917"/>
      <c r="CV57" s="480">
        <v>9.5916666666666686</v>
      </c>
      <c r="CW57" s="917"/>
      <c r="CX57" s="480">
        <v>61.416666666666664</v>
      </c>
      <c r="CY57" s="481"/>
      <c r="CZ57" s="1224"/>
      <c r="DA57" s="915"/>
      <c r="DB57" s="917"/>
      <c r="DC57" s="917"/>
      <c r="DD57" s="480">
        <v>61.416666666666664</v>
      </c>
      <c r="DE57" s="917"/>
      <c r="DF57" s="480">
        <v>61.416666666666664</v>
      </c>
      <c r="DG57" s="481"/>
      <c r="DH57" s="1224"/>
      <c r="DI57" s="915"/>
      <c r="DJ57" s="917"/>
      <c r="DK57" s="917"/>
      <c r="DL57" s="480">
        <v>10.071250000000001</v>
      </c>
      <c r="DM57" s="917"/>
      <c r="DN57" s="480">
        <v>71.487916666666678</v>
      </c>
      <c r="DO57" s="481"/>
      <c r="DP57" s="1224"/>
      <c r="DQ57" s="915"/>
      <c r="DR57" s="917"/>
      <c r="DS57" s="917"/>
      <c r="DT57" s="480">
        <v>0</v>
      </c>
      <c r="DU57" s="917"/>
      <c r="DV57" s="480">
        <v>71.487916666666678</v>
      </c>
      <c r="DW57" s="481"/>
      <c r="DX57" s="1224"/>
      <c r="DY57" s="915"/>
      <c r="DZ57" s="917"/>
      <c r="EA57" s="917"/>
      <c r="EB57" s="480">
        <v>0</v>
      </c>
      <c r="EC57" s="870"/>
      <c r="ED57" s="281">
        <v>71.487916666666678</v>
      </c>
      <c r="EE57" s="481"/>
      <c r="EF57" s="323"/>
      <c r="EG57" s="915"/>
      <c r="EH57" s="302"/>
      <c r="EI57" s="302"/>
      <c r="EJ57" s="265">
        <v>10.071250000000001</v>
      </c>
      <c r="EK57" s="302"/>
      <c r="EL57" s="260">
        <v>71.487916666666678</v>
      </c>
      <c r="EM57" s="259"/>
      <c r="EN57" s="323"/>
      <c r="EO57" s="915"/>
      <c r="EP57" s="302"/>
      <c r="EQ57" s="302"/>
      <c r="ER57" s="265">
        <v>19.662916666666668</v>
      </c>
      <c r="ES57" s="302"/>
      <c r="ET57" s="260">
        <v>71.487916666666678</v>
      </c>
      <c r="EU57" s="259"/>
      <c r="EV57" s="323"/>
      <c r="EW57" s="915"/>
      <c r="EX57" s="302"/>
      <c r="EY57" s="302"/>
      <c r="EZ57" s="265">
        <v>71.487916666666678</v>
      </c>
      <c r="FA57" s="302"/>
      <c r="FB57" s="260">
        <v>71.487916666666678</v>
      </c>
      <c r="FC57" s="259"/>
    </row>
    <row r="58" spans="2:159" ht="15.75" hidden="1" thickTop="1">
      <c r="D58" s="967" t="s">
        <v>729</v>
      </c>
      <c r="F58" s="316"/>
      <c r="G58" s="316"/>
      <c r="H58" s="316"/>
      <c r="I58" s="316"/>
      <c r="J58" s="919"/>
      <c r="K58" s="919"/>
      <c r="L58" s="318">
        <v>99.47999999999999</v>
      </c>
      <c r="M58" s="919"/>
      <c r="N58" s="919"/>
      <c r="O58" s="919"/>
      <c r="P58" s="919"/>
      <c r="Q58" s="919"/>
      <c r="R58" s="317" t="s">
        <v>4</v>
      </c>
      <c r="S58" s="318">
        <v>28.08666666666667</v>
      </c>
      <c r="T58" s="919"/>
      <c r="U58" s="919"/>
      <c r="V58" s="317" t="s">
        <v>4</v>
      </c>
      <c r="W58" s="318">
        <v>47.379351851851858</v>
      </c>
      <c r="X58" s="919"/>
      <c r="Y58" s="919"/>
      <c r="Z58" s="319" t="s">
        <v>4</v>
      </c>
      <c r="AA58" s="320">
        <v>58.926851851851858</v>
      </c>
      <c r="AB58" s="919"/>
      <c r="AC58" s="920"/>
      <c r="AD58" s="321" t="s">
        <v>4</v>
      </c>
      <c r="AE58" s="322">
        <v>44.79762345679012</v>
      </c>
      <c r="AF58" s="920"/>
      <c r="AG58" s="921"/>
      <c r="AH58" s="921"/>
      <c r="AI58" s="921"/>
      <c r="AJ58" s="324">
        <v>87.25282407407407</v>
      </c>
      <c r="AK58" s="921"/>
      <c r="AL58" s="324">
        <v>132.0504475308642</v>
      </c>
      <c r="AM58" s="322"/>
      <c r="AN58" s="920"/>
      <c r="AO58" s="921"/>
      <c r="AP58" s="921"/>
      <c r="AQ58" s="921"/>
      <c r="AR58" s="324">
        <v>17.397037037037038</v>
      </c>
      <c r="AS58" s="921"/>
      <c r="AT58" s="324">
        <v>149.4474845679012</v>
      </c>
      <c r="AU58" s="322"/>
      <c r="AV58" s="920"/>
      <c r="AW58" s="921"/>
      <c r="AX58" s="921"/>
      <c r="AY58" s="921"/>
      <c r="AZ58" s="324">
        <v>12.533572124756335</v>
      </c>
      <c r="BA58" s="921"/>
      <c r="BB58" s="324">
        <v>161.98105669265757</v>
      </c>
      <c r="BC58" s="322"/>
      <c r="BD58" s="920"/>
      <c r="BE58" s="921"/>
      <c r="BF58" s="921"/>
      <c r="BG58" s="921"/>
      <c r="BH58" s="324">
        <v>117.18343323586744</v>
      </c>
      <c r="BI58" s="921"/>
      <c r="BJ58" s="324">
        <v>161.98105669265757</v>
      </c>
      <c r="BK58" s="322"/>
      <c r="BL58" s="920"/>
      <c r="BM58" s="921"/>
      <c r="BN58" s="921"/>
      <c r="BO58" s="921"/>
      <c r="BP58" s="324">
        <v>161.98105669265757</v>
      </c>
      <c r="BQ58" s="921"/>
      <c r="BR58" s="324">
        <v>161.98105669265757</v>
      </c>
      <c r="BS58" s="322"/>
      <c r="BT58" s="920"/>
      <c r="BU58" s="921"/>
      <c r="BV58" s="921"/>
      <c r="BW58" s="921"/>
      <c r="BX58" s="324">
        <v>0.19874220272904486</v>
      </c>
      <c r="BY58" s="921"/>
      <c r="BZ58" s="324">
        <v>162.1797988953866</v>
      </c>
      <c r="CA58" s="322"/>
      <c r="CB58" s="920"/>
      <c r="CC58" s="921"/>
      <c r="CD58" s="921"/>
      <c r="CE58" s="921"/>
      <c r="CF58" s="324">
        <v>2.2989230019493174</v>
      </c>
      <c r="CG58" s="921"/>
      <c r="CH58" s="324">
        <v>164.47872189733593</v>
      </c>
      <c r="CI58" s="322"/>
      <c r="CJ58" s="920"/>
      <c r="CK58" s="921"/>
      <c r="CL58" s="921"/>
      <c r="CM58" s="921"/>
      <c r="CN58" s="324">
        <v>41.772135185185185</v>
      </c>
      <c r="CO58" s="921"/>
      <c r="CP58" s="324">
        <v>206.25085708252112</v>
      </c>
      <c r="CQ58" s="322"/>
      <c r="CR58" s="920"/>
      <c r="CS58" s="921"/>
      <c r="CT58" s="921"/>
      <c r="CU58" s="921"/>
      <c r="CV58" s="324">
        <v>44.269800389863541</v>
      </c>
      <c r="CW58" s="921"/>
      <c r="CX58" s="324">
        <v>206.25085708252112</v>
      </c>
      <c r="CY58" s="322"/>
      <c r="CZ58" s="920"/>
      <c r="DA58" s="921"/>
      <c r="DB58" s="921"/>
      <c r="DC58" s="921"/>
      <c r="DD58" s="324">
        <v>206.25085708252112</v>
      </c>
      <c r="DE58" s="921"/>
      <c r="DF58" s="324">
        <v>206.25085708252112</v>
      </c>
      <c r="DG58" s="322"/>
      <c r="DH58" s="920"/>
      <c r="DI58" s="921"/>
      <c r="DJ58" s="921"/>
      <c r="DK58" s="921"/>
      <c r="DL58" s="324">
        <v>43.860741944444442</v>
      </c>
      <c r="DM58" s="921"/>
      <c r="DN58" s="324">
        <v>250.11159902696559</v>
      </c>
      <c r="DO58" s="322"/>
      <c r="DP58" s="920"/>
      <c r="DQ58" s="921"/>
      <c r="DR58" s="921"/>
      <c r="DS58" s="921"/>
      <c r="DT58" s="324">
        <v>0</v>
      </c>
      <c r="DU58" s="921"/>
      <c r="DV58" s="324">
        <v>250.11159902696559</v>
      </c>
      <c r="DW58" s="322"/>
      <c r="DX58" s="920"/>
      <c r="DY58" s="921"/>
      <c r="DZ58" s="921"/>
      <c r="EA58" s="921"/>
      <c r="EB58" s="324">
        <v>0</v>
      </c>
      <c r="EC58" s="323"/>
      <c r="ED58" s="324">
        <v>250.11159902696559</v>
      </c>
      <c r="EE58" s="322"/>
      <c r="EF58" s="249"/>
      <c r="EG58" s="323"/>
      <c r="EH58" s="323"/>
      <c r="EI58" s="323"/>
      <c r="EJ58" s="324">
        <v>43.860741944444442</v>
      </c>
      <c r="EK58" s="323"/>
      <c r="EL58" s="324">
        <v>250.11159902696559</v>
      </c>
      <c r="EM58" s="322"/>
      <c r="EN58" s="249"/>
      <c r="EO58" s="323"/>
      <c r="EP58" s="323"/>
      <c r="EQ58" s="323"/>
      <c r="ER58" s="324">
        <v>88.130542334307989</v>
      </c>
      <c r="ES58" s="323"/>
      <c r="ET58" s="324">
        <v>250.11159902696559</v>
      </c>
      <c r="EU58" s="322"/>
      <c r="EV58" s="249"/>
      <c r="EW58" s="323"/>
      <c r="EX58" s="323"/>
      <c r="EY58" s="323"/>
      <c r="EZ58" s="324">
        <v>250.11159902696559</v>
      </c>
      <c r="FA58" s="323"/>
      <c r="FB58" s="324">
        <v>250.11159902696559</v>
      </c>
      <c r="FC58" s="322"/>
    </row>
    <row r="59" spans="2:159" ht="15.75" thickTop="1">
      <c r="BP59" s="761"/>
    </row>
    <row r="60" spans="2:159" hidden="1">
      <c r="D60" s="955" t="s">
        <v>782</v>
      </c>
      <c r="L60" s="761">
        <v>99.47999999999999</v>
      </c>
      <c r="M60" s="761"/>
      <c r="N60" s="761"/>
      <c r="O60" s="761"/>
      <c r="P60" s="761"/>
      <c r="Q60" s="761"/>
      <c r="R60" s="761" t="s">
        <v>4</v>
      </c>
      <c r="S60" s="761">
        <v>25.895000000000003</v>
      </c>
      <c r="T60" s="761"/>
      <c r="U60" s="761"/>
      <c r="V60" s="761" t="s">
        <v>4</v>
      </c>
      <c r="W60" s="761">
        <v>43.704351851851854</v>
      </c>
      <c r="X60" s="761"/>
      <c r="Y60" s="761"/>
      <c r="Z60" s="761" t="s">
        <v>4</v>
      </c>
      <c r="AA60" s="761">
        <v>54.985185185185188</v>
      </c>
      <c r="AB60" s="761"/>
      <c r="AC60" s="761"/>
      <c r="AD60" s="761" t="s">
        <v>4</v>
      </c>
      <c r="AE60" s="761">
        <v>41.528179012345682</v>
      </c>
      <c r="AF60" s="761"/>
      <c r="AG60" s="761"/>
      <c r="AH60" s="761"/>
      <c r="AI60" s="761"/>
      <c r="AJ60" s="761">
        <v>37.519490740740736</v>
      </c>
      <c r="AK60" s="761"/>
      <c r="AL60" s="761">
        <v>79.047669753086424</v>
      </c>
      <c r="AM60" s="761"/>
      <c r="AN60" s="761"/>
      <c r="AO60" s="761"/>
      <c r="AP60" s="761"/>
      <c r="AQ60" s="761"/>
      <c r="AR60" s="761">
        <v>10.73037037037037</v>
      </c>
      <c r="AS60" s="761"/>
      <c r="AT60" s="761">
        <v>89.778040123456776</v>
      </c>
      <c r="AU60" s="761"/>
      <c r="AV60" s="761"/>
      <c r="AW60" s="761"/>
      <c r="AX60" s="761"/>
      <c r="AY60" s="761"/>
      <c r="AZ60" s="761">
        <v>8.9037037037037035</v>
      </c>
      <c r="BA60" s="761"/>
      <c r="BB60" s="761">
        <v>98.681743827160474</v>
      </c>
      <c r="BC60" s="761"/>
      <c r="BD60" s="761"/>
      <c r="BE60" s="761"/>
      <c r="BF60" s="761"/>
      <c r="BG60" s="761"/>
      <c r="BH60" s="761">
        <v>57.153564814814821</v>
      </c>
      <c r="BI60" s="761"/>
      <c r="BJ60" s="761">
        <v>98.681743827160474</v>
      </c>
      <c r="BK60" s="761"/>
      <c r="BL60" s="761"/>
      <c r="BM60" s="761"/>
      <c r="BN60" s="761"/>
      <c r="BO60" s="761"/>
      <c r="BP60" s="761">
        <v>98.681743827160474</v>
      </c>
      <c r="BQ60" s="761"/>
      <c r="BR60" s="761">
        <v>98.681743827160474</v>
      </c>
      <c r="BS60" s="761"/>
      <c r="BT60" s="761"/>
      <c r="BU60" s="761"/>
      <c r="BV60" s="761"/>
      <c r="BW60" s="761"/>
      <c r="BX60" s="761">
        <v>0</v>
      </c>
      <c r="BY60" s="761"/>
      <c r="BZ60" s="761">
        <v>98.681743827160474</v>
      </c>
      <c r="CA60" s="761"/>
      <c r="CB60" s="761"/>
      <c r="CC60" s="761"/>
      <c r="CD60" s="761"/>
      <c r="CE60" s="761"/>
      <c r="CF60" s="761">
        <v>0</v>
      </c>
      <c r="CG60" s="761"/>
      <c r="CH60" s="761">
        <v>98.681743827160474</v>
      </c>
      <c r="CI60" s="761"/>
      <c r="CJ60" s="761"/>
      <c r="CK60" s="761"/>
      <c r="CL60" s="761"/>
      <c r="CM60" s="761"/>
      <c r="CN60" s="761">
        <v>0</v>
      </c>
      <c r="CO60" s="761"/>
      <c r="CP60" s="761">
        <v>98.681743827160474</v>
      </c>
      <c r="CQ60" s="761"/>
      <c r="CR60" s="761"/>
      <c r="CS60" s="761"/>
      <c r="CT60" s="761"/>
      <c r="CU60" s="761"/>
      <c r="CV60" s="761">
        <v>0</v>
      </c>
      <c r="CW60" s="761"/>
      <c r="CX60" s="761">
        <v>98.681743827160474</v>
      </c>
      <c r="CY60" s="761"/>
      <c r="CZ60" s="761"/>
      <c r="DA60" s="761"/>
      <c r="DB60" s="761"/>
      <c r="DC60" s="761"/>
      <c r="DD60" s="761">
        <v>98.681743827160474</v>
      </c>
      <c r="DE60" s="761"/>
      <c r="DF60" s="761">
        <v>98.681743827160474</v>
      </c>
      <c r="DG60" s="761"/>
      <c r="DH60" s="761"/>
      <c r="DI60" s="761"/>
      <c r="DJ60" s="761"/>
      <c r="DK60" s="761"/>
      <c r="DL60" s="761">
        <v>0</v>
      </c>
      <c r="DM60" s="761"/>
      <c r="DN60" s="761">
        <v>98.681743827160474</v>
      </c>
      <c r="DO60" s="761"/>
      <c r="DP60" s="761"/>
      <c r="DQ60" s="761"/>
      <c r="DR60" s="761"/>
      <c r="DS60" s="761"/>
      <c r="DT60" s="761">
        <v>0</v>
      </c>
      <c r="DU60" s="761"/>
      <c r="DV60" s="761">
        <v>98.681743827160474</v>
      </c>
      <c r="DW60" s="761"/>
      <c r="DX60" s="761"/>
      <c r="DY60" s="761"/>
      <c r="DZ60" s="761"/>
      <c r="EA60" s="761"/>
      <c r="EB60" s="761">
        <v>0</v>
      </c>
    </row>
    <row r="61" spans="2:159" hidden="1">
      <c r="D61" s="955" t="s">
        <v>783</v>
      </c>
      <c r="L61" s="761">
        <v>0</v>
      </c>
      <c r="S61" s="761">
        <v>2.1916666666666664</v>
      </c>
      <c r="W61" s="761">
        <v>3.6750000000000043</v>
      </c>
      <c r="AA61" s="761">
        <v>3.94166666666667</v>
      </c>
      <c r="AJ61" s="761">
        <v>49.733333333333334</v>
      </c>
      <c r="AR61" s="761">
        <v>6.6666666666666679</v>
      </c>
      <c r="AZ61" s="761">
        <v>3.6298684210526311</v>
      </c>
      <c r="BX61" s="761">
        <v>0.19874220272904486</v>
      </c>
      <c r="CF61" s="761">
        <v>2.2989230019493174</v>
      </c>
      <c r="CN61" s="761">
        <v>41.772135185185185</v>
      </c>
      <c r="DL61" s="761">
        <v>43.860741944444442</v>
      </c>
      <c r="DT61" s="761">
        <v>0</v>
      </c>
      <c r="EB61" s="761">
        <v>0</v>
      </c>
    </row>
    <row r="69" spans="156:156">
      <c r="EZ69" s="324"/>
    </row>
  </sheetData>
  <sheetProtection password="E86C" sheet="1" objects="1" scenarios="1"/>
  <mergeCells count="173">
    <mergeCell ref="B46:B51"/>
    <mergeCell ref="C46:C51"/>
    <mergeCell ref="B52:B57"/>
    <mergeCell ref="C52:C57"/>
    <mergeCell ref="B9:B20"/>
    <mergeCell ref="C9:C20"/>
    <mergeCell ref="B21:B30"/>
    <mergeCell ref="C21:C30"/>
    <mergeCell ref="B31:B40"/>
    <mergeCell ref="C31:C40"/>
    <mergeCell ref="B41:B45"/>
    <mergeCell ref="C41:C45"/>
    <mergeCell ref="B1:O1"/>
    <mergeCell ref="B2:O2"/>
    <mergeCell ref="B3:O3"/>
    <mergeCell ref="Q5:S5"/>
    <mergeCell ref="N5:O5"/>
    <mergeCell ref="D5:D7"/>
    <mergeCell ref="B5:C7"/>
    <mergeCell ref="O6:O7"/>
    <mergeCell ref="G5:G7"/>
    <mergeCell ref="F5:F7"/>
    <mergeCell ref="E5:E7"/>
    <mergeCell ref="B4:G4"/>
    <mergeCell ref="N4:O4"/>
    <mergeCell ref="N6:N7"/>
    <mergeCell ref="I6:I7"/>
    <mergeCell ref="J5:L5"/>
    <mergeCell ref="J6:J7"/>
    <mergeCell ref="K6:L6"/>
    <mergeCell ref="U5:W5"/>
    <mergeCell ref="Q6:Q7"/>
    <mergeCell ref="R6:R7"/>
    <mergeCell ref="S6:S7"/>
    <mergeCell ref="U6:U7"/>
    <mergeCell ref="V6:V7"/>
    <mergeCell ref="W6:W7"/>
    <mergeCell ref="AO5:AU5"/>
    <mergeCell ref="AO6:AO7"/>
    <mergeCell ref="AP6:AP7"/>
    <mergeCell ref="AQ6:AQ7"/>
    <mergeCell ref="AR6:AR7"/>
    <mergeCell ref="AS6:AS7"/>
    <mergeCell ref="AT6:AT7"/>
    <mergeCell ref="AU6:AU7"/>
    <mergeCell ref="Y5:AA5"/>
    <mergeCell ref="Y6:Y7"/>
    <mergeCell ref="Z6:Z7"/>
    <mergeCell ref="AA6:AA7"/>
    <mergeCell ref="AC5:AE5"/>
    <mergeCell ref="AG5:AM5"/>
    <mergeCell ref="AC6:AC7"/>
    <mergeCell ref="AD6:AD7"/>
    <mergeCell ref="AE6:AE7"/>
    <mergeCell ref="AG6:AG7"/>
    <mergeCell ref="AH6:AH7"/>
    <mergeCell ref="AI6:AI7"/>
    <mergeCell ref="AK6:AK7"/>
    <mergeCell ref="AL6:AL7"/>
    <mergeCell ref="AM6:AM7"/>
    <mergeCell ref="AJ6:AJ7"/>
    <mergeCell ref="BE5:BK5"/>
    <mergeCell ref="BE6:BE7"/>
    <mergeCell ref="BF6:BF7"/>
    <mergeCell ref="BG6:BG7"/>
    <mergeCell ref="BH6:BH7"/>
    <mergeCell ref="BI6:BI7"/>
    <mergeCell ref="BJ6:BJ7"/>
    <mergeCell ref="BK6:BK7"/>
    <mergeCell ref="AW5:BC5"/>
    <mergeCell ref="AW6:AW7"/>
    <mergeCell ref="AX6:AX7"/>
    <mergeCell ref="AY6:AY7"/>
    <mergeCell ref="AZ6:AZ7"/>
    <mergeCell ref="BA6:BA7"/>
    <mergeCell ref="BB6:BB7"/>
    <mergeCell ref="BC6:BC7"/>
    <mergeCell ref="BU5:CA5"/>
    <mergeCell ref="BU6:BU7"/>
    <mergeCell ref="BV6:BV7"/>
    <mergeCell ref="BW6:BW7"/>
    <mergeCell ref="BX6:BX7"/>
    <mergeCell ref="BY6:BY7"/>
    <mergeCell ref="BZ6:BZ7"/>
    <mergeCell ref="CA6:CA7"/>
    <mergeCell ref="BM5:BS5"/>
    <mergeCell ref="BM6:BM7"/>
    <mergeCell ref="BN6:BN7"/>
    <mergeCell ref="BO6:BO7"/>
    <mergeCell ref="BP6:BP7"/>
    <mergeCell ref="BQ6:BQ7"/>
    <mergeCell ref="BR6:BR7"/>
    <mergeCell ref="BS6:BS7"/>
    <mergeCell ref="CK5:CQ5"/>
    <mergeCell ref="CK6:CK7"/>
    <mergeCell ref="CL6:CL7"/>
    <mergeCell ref="CM6:CM7"/>
    <mergeCell ref="CN6:CN7"/>
    <mergeCell ref="CO6:CO7"/>
    <mergeCell ref="CP6:CP7"/>
    <mergeCell ref="CQ6:CQ7"/>
    <mergeCell ref="CC5:CI5"/>
    <mergeCell ref="CC6:CC7"/>
    <mergeCell ref="CD6:CD7"/>
    <mergeCell ref="CE6:CE7"/>
    <mergeCell ref="CF6:CF7"/>
    <mergeCell ref="CG6:CG7"/>
    <mergeCell ref="CH6:CH7"/>
    <mergeCell ref="CI6:CI7"/>
    <mergeCell ref="DA5:DG5"/>
    <mergeCell ref="DA6:DA7"/>
    <mergeCell ref="DB6:DB7"/>
    <mergeCell ref="DC6:DC7"/>
    <mergeCell ref="DD6:DD7"/>
    <mergeCell ref="DE6:DE7"/>
    <mergeCell ref="DF6:DF7"/>
    <mergeCell ref="DG6:DG7"/>
    <mergeCell ref="CS5:CY5"/>
    <mergeCell ref="CS6:CS7"/>
    <mergeCell ref="CT6:CT7"/>
    <mergeCell ref="CU6:CU7"/>
    <mergeCell ref="CV6:CV7"/>
    <mergeCell ref="CW6:CW7"/>
    <mergeCell ref="CX6:CX7"/>
    <mergeCell ref="CY6:CY7"/>
    <mergeCell ref="DQ5:DW5"/>
    <mergeCell ref="DQ6:DQ7"/>
    <mergeCell ref="DR6:DR7"/>
    <mergeCell ref="DS6:DS7"/>
    <mergeCell ref="DT6:DT7"/>
    <mergeCell ref="DU6:DU7"/>
    <mergeCell ref="DV6:DV7"/>
    <mergeCell ref="DW6:DW7"/>
    <mergeCell ref="DI5:DO5"/>
    <mergeCell ref="DI6:DI7"/>
    <mergeCell ref="DJ6:DJ7"/>
    <mergeCell ref="DK6:DK7"/>
    <mergeCell ref="DL6:DL7"/>
    <mergeCell ref="DM6:DM7"/>
    <mergeCell ref="DN6:DN7"/>
    <mergeCell ref="DO6:DO7"/>
    <mergeCell ref="EG5:EM5"/>
    <mergeCell ref="EG6:EG7"/>
    <mergeCell ref="EH6:EH7"/>
    <mergeCell ref="EI6:EI7"/>
    <mergeCell ref="EJ6:EJ7"/>
    <mergeCell ref="EK6:EK7"/>
    <mergeCell ref="EL6:EL7"/>
    <mergeCell ref="EM6:EM7"/>
    <mergeCell ref="DY5:EE5"/>
    <mergeCell ref="DY6:DY7"/>
    <mergeCell ref="DZ6:DZ7"/>
    <mergeCell ref="EA6:EA7"/>
    <mergeCell ref="EB6:EB7"/>
    <mergeCell ref="EC6:EC7"/>
    <mergeCell ref="ED6:ED7"/>
    <mergeCell ref="EE6:EE7"/>
    <mergeCell ref="EW5:FC5"/>
    <mergeCell ref="EW6:EW7"/>
    <mergeCell ref="EX6:EX7"/>
    <mergeCell ref="EY6:EY7"/>
    <mergeCell ref="EZ6:EZ7"/>
    <mergeCell ref="FA6:FA7"/>
    <mergeCell ref="FB6:FB7"/>
    <mergeCell ref="FC6:FC7"/>
    <mergeCell ref="EO5:EU5"/>
    <mergeCell ref="EO6:EO7"/>
    <mergeCell ref="EP6:EP7"/>
    <mergeCell ref="EQ6:EQ7"/>
    <mergeCell ref="ER6:ER7"/>
    <mergeCell ref="ES6:ES7"/>
    <mergeCell ref="ET6:ET7"/>
    <mergeCell ref="EU6:EU7"/>
  </mergeCells>
  <printOptions headings="1"/>
  <pageMargins left="0" right="0" top="0.75" bottom="0" header="0.47" footer="0.32"/>
  <pageSetup paperSize="9" scale="15" orientation="landscape" r:id="rId1"/>
  <headerFooter>
    <oddHeader xml:space="preserve">&amp;LCFAVC's Output 2 Physical Progress 2021&amp;CPHYSICAL PROGRESS 
OUTPUT 2&amp;RAnnex 1.5 </oddHeader>
    <oddFooter>&amp;LAESA &amp; SBK</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CC"/>
  </sheetPr>
  <dimension ref="A1:FC50"/>
  <sheetViews>
    <sheetView showWhiteSpace="0" view="pageBreakPreview" topLeftCell="B1" zoomScale="70" zoomScaleNormal="70" zoomScaleSheetLayoutView="70" zoomScalePageLayoutView="70" workbookViewId="0">
      <pane xSplit="6" ySplit="8" topLeftCell="I9" activePane="bottomRight" state="frozen"/>
      <selection activeCell="B1" sqref="B1"/>
      <selection pane="topRight" activeCell="H1" sqref="H1"/>
      <selection pane="bottomLeft" activeCell="B9" sqref="B9"/>
      <selection pane="bottomRight" activeCell="P10" sqref="P10"/>
    </sheetView>
  </sheetViews>
  <sheetFormatPr defaultColWidth="9.140625" defaultRowHeight="15"/>
  <cols>
    <col min="1" max="1" width="0" style="218" hidden="1" customWidth="1"/>
    <col min="2" max="2" width="7.28515625" style="218" customWidth="1"/>
    <col min="3" max="3" width="20.85546875" style="218" customWidth="1"/>
    <col min="4" max="4" width="48.42578125" style="218" customWidth="1"/>
    <col min="5" max="5" width="10.85546875" style="218" customWidth="1"/>
    <col min="6" max="7" width="9.140625" style="218"/>
    <col min="8" max="8" width="0.5703125" style="218" hidden="1" customWidth="1"/>
    <col min="9" max="9" width="8.7109375" style="692" customWidth="1"/>
    <col min="10" max="10" width="8.7109375" style="218" customWidth="1"/>
    <col min="11" max="11" width="9.7109375" style="692" customWidth="1"/>
    <col min="12" max="12" width="0.85546875" style="218" hidden="1" customWidth="1"/>
    <col min="13" max="13" width="8.7109375" style="218" customWidth="1"/>
    <col min="14" max="14" width="11.140625" style="218" customWidth="1"/>
    <col min="15" max="15" width="1" style="218" hidden="1" customWidth="1"/>
    <col min="16" max="16" width="9.7109375" style="218" customWidth="1"/>
    <col min="17" max="17" width="11" style="218" customWidth="1"/>
    <col min="18" max="18" width="11.140625" style="218" customWidth="1"/>
    <col min="19" max="19" width="0.85546875" style="218" hidden="1" customWidth="1"/>
    <col min="20" max="20" width="8.7109375" style="218" customWidth="1"/>
    <col min="21" max="21" width="9.7109375" style="218" customWidth="1"/>
    <col min="22" max="22" width="11" style="218" customWidth="1"/>
    <col min="23" max="23" width="0.85546875" style="218" hidden="1" customWidth="1"/>
    <col min="24" max="25" width="10.28515625" style="218" customWidth="1"/>
    <col min="26" max="26" width="11.140625" style="218" customWidth="1"/>
    <col min="27" max="27" width="1" style="218" hidden="1" customWidth="1"/>
    <col min="28" max="28" width="10.140625" style="218" customWidth="1"/>
    <col min="29" max="29" width="10.28515625" style="218" customWidth="1"/>
    <col min="30" max="30" width="11.140625" style="218" customWidth="1"/>
    <col min="31" max="31" width="1" style="218" hidden="1" customWidth="1"/>
    <col min="32" max="32" width="10.28515625" style="218" customWidth="1"/>
    <col min="33" max="33" width="8.7109375" style="218" customWidth="1"/>
    <col min="34" max="34" width="10.140625" style="218" customWidth="1"/>
    <col min="35" max="35" width="11.28515625" style="218" customWidth="1"/>
    <col min="36" max="37" width="8.7109375" style="218" hidden="1" customWidth="1"/>
    <col min="38" max="38" width="12.42578125" style="218" hidden="1" customWidth="1"/>
    <col min="39" max="39" width="0.85546875" style="218" hidden="1" customWidth="1"/>
    <col min="40" max="40" width="10.140625" style="218" customWidth="1"/>
    <col min="41" max="41" width="8.7109375" style="218" customWidth="1"/>
    <col min="42" max="42" width="10.140625" style="218" customWidth="1"/>
    <col min="43" max="43" width="11" style="218" customWidth="1"/>
    <col min="44" max="44" width="13.28515625" style="218" hidden="1" customWidth="1"/>
    <col min="45" max="45" width="12" style="218" hidden="1" customWidth="1"/>
    <col min="46" max="46" width="13.28515625" style="218" hidden="1" customWidth="1"/>
    <col min="47" max="47" width="0.85546875" style="218" hidden="1" customWidth="1"/>
    <col min="48" max="48" width="10" style="218" customWidth="1"/>
    <col min="49" max="49" width="8.7109375" style="218" customWidth="1"/>
    <col min="50" max="50" width="10.140625" style="218" customWidth="1"/>
    <col min="51" max="51" width="10.85546875" style="218" customWidth="1"/>
    <col min="52" max="52" width="13.28515625" style="218" hidden="1" customWidth="1"/>
    <col min="53" max="53" width="12.42578125" style="218" hidden="1" customWidth="1"/>
    <col min="54" max="54" width="13.28515625" style="218" hidden="1" customWidth="1"/>
    <col min="55" max="55" width="0.85546875" style="218" hidden="1" customWidth="1"/>
    <col min="56" max="56" width="10.28515625" style="218" customWidth="1"/>
    <col min="57" max="57" width="9.5703125" style="218" customWidth="1"/>
    <col min="58" max="58" width="10.5703125" style="218" customWidth="1"/>
    <col min="59" max="59" width="11" style="218" customWidth="1"/>
    <col min="60" max="60" width="13.28515625" style="218" hidden="1" customWidth="1"/>
    <col min="61" max="61" width="12.42578125" style="218" hidden="1" customWidth="1"/>
    <col min="62" max="62" width="1.5703125" style="218" hidden="1" customWidth="1"/>
    <col min="63" max="63" width="0.85546875" style="218" hidden="1" customWidth="1"/>
    <col min="64" max="64" width="11" style="218" customWidth="1"/>
    <col min="65" max="65" width="8.7109375" style="218" customWidth="1"/>
    <col min="66" max="66" width="10.5703125" style="218" customWidth="1"/>
    <col min="67" max="67" width="11.85546875" style="218" customWidth="1"/>
    <col min="68" max="68" width="13.28515625" style="218" hidden="1" customWidth="1"/>
    <col min="69" max="69" width="11.85546875" style="218" hidden="1" customWidth="1"/>
    <col min="70" max="70" width="13.28515625" style="218" hidden="1" customWidth="1"/>
    <col min="71" max="71" width="1.42578125" style="218" hidden="1" customWidth="1"/>
    <col min="72" max="72" width="10.5703125" style="218" customWidth="1"/>
    <col min="73" max="73" width="8.7109375" style="218" customWidth="1"/>
    <col min="74" max="74" width="11" style="218" customWidth="1"/>
    <col min="75" max="75" width="11.140625" style="218" customWidth="1"/>
    <col min="76" max="76" width="13.28515625" style="218" hidden="1" customWidth="1"/>
    <col min="77" max="77" width="12.7109375" style="218" hidden="1" customWidth="1"/>
    <col min="78" max="78" width="13.28515625" style="218" hidden="1" customWidth="1"/>
    <col min="79" max="79" width="0.85546875" style="218" hidden="1" customWidth="1"/>
    <col min="80" max="80" width="9.7109375" style="218" customWidth="1"/>
    <col min="81" max="81" width="8.7109375" style="218" customWidth="1"/>
    <col min="82" max="82" width="10" style="218" customWidth="1"/>
    <col min="83" max="83" width="10.28515625" style="218" customWidth="1"/>
    <col min="84" max="84" width="13.28515625" style="218" hidden="1" customWidth="1"/>
    <col min="85" max="85" width="12.42578125" style="218" hidden="1" customWidth="1"/>
    <col min="86" max="86" width="13.28515625" style="218" hidden="1" customWidth="1"/>
    <col min="87" max="87" width="0.85546875" style="218" hidden="1" customWidth="1"/>
    <col min="88" max="88" width="10.7109375" style="218" customWidth="1"/>
    <col min="89" max="89" width="8.7109375" style="218" customWidth="1"/>
    <col min="90" max="90" width="11.5703125" style="218" customWidth="1"/>
    <col min="91" max="91" width="10.85546875" style="218" customWidth="1"/>
    <col min="92" max="92" width="13.28515625" style="218" hidden="1" customWidth="1"/>
    <col min="93" max="93" width="12.85546875" style="218" hidden="1" customWidth="1"/>
    <col min="94" max="94" width="13.28515625" style="218" hidden="1" customWidth="1"/>
    <col min="95" max="95" width="0.85546875" style="218" hidden="1" customWidth="1"/>
    <col min="96" max="96" width="9.7109375" style="218" customWidth="1"/>
    <col min="97" max="97" width="8.7109375" style="218" customWidth="1"/>
    <col min="98" max="98" width="10" style="218" customWidth="1"/>
    <col min="99" max="99" width="11.42578125" style="218" customWidth="1"/>
    <col min="100" max="100" width="13.28515625" style="218" hidden="1" customWidth="1"/>
    <col min="101" max="101" width="12.7109375" style="218" hidden="1" customWidth="1"/>
    <col min="102" max="102" width="13.28515625" style="218" hidden="1" customWidth="1"/>
    <col min="103" max="103" width="0.85546875" style="218" hidden="1" customWidth="1"/>
    <col min="104" max="104" width="10.5703125" style="218" customWidth="1"/>
    <col min="105" max="105" width="8.7109375" style="218" customWidth="1"/>
    <col min="106" max="106" width="10.5703125" style="218" customWidth="1"/>
    <col min="107" max="107" width="11.5703125" style="218" customWidth="1"/>
    <col min="108" max="108" width="13.28515625" style="218" hidden="1" customWidth="1"/>
    <col min="109" max="109" width="12.42578125" style="218" hidden="1" customWidth="1"/>
    <col min="110" max="110" width="13.28515625" style="218" hidden="1" customWidth="1"/>
    <col min="111" max="111" width="0.85546875" style="218" hidden="1" customWidth="1"/>
    <col min="112" max="112" width="10" style="218" customWidth="1"/>
    <col min="113" max="113" width="8.7109375" style="218" customWidth="1"/>
    <col min="114" max="114" width="11.140625" style="218" customWidth="1"/>
    <col min="115" max="115" width="10.140625" style="218" customWidth="1"/>
    <col min="116" max="116" width="13.28515625" style="218" hidden="1" customWidth="1"/>
    <col min="117" max="117" width="12.28515625" style="218" hidden="1" customWidth="1"/>
    <col min="118" max="118" width="13.28515625" style="218" hidden="1" customWidth="1"/>
    <col min="119" max="119" width="0.85546875" style="218" hidden="1" customWidth="1"/>
    <col min="120" max="120" width="9.7109375" style="218" customWidth="1"/>
    <col min="121" max="121" width="8.7109375" style="218" customWidth="1"/>
    <col min="122" max="122" width="9.7109375" style="218" customWidth="1"/>
    <col min="123" max="123" width="10.28515625" style="218" customWidth="1"/>
    <col min="124" max="124" width="13.28515625" style="218" hidden="1" customWidth="1"/>
    <col min="125" max="125" width="12.85546875" style="218" hidden="1" customWidth="1"/>
    <col min="126" max="126" width="13.28515625" style="218" hidden="1" customWidth="1"/>
    <col min="127" max="127" width="0.85546875" style="218" hidden="1" customWidth="1"/>
    <col min="128" max="128" width="10.28515625" style="218" customWidth="1"/>
    <col min="129" max="129" width="8.7109375" style="218" customWidth="1"/>
    <col min="130" max="130" width="9.7109375" style="218" customWidth="1"/>
    <col min="131" max="131" width="10.28515625" style="218" customWidth="1"/>
    <col min="132" max="132" width="13.28515625" style="218" hidden="1" customWidth="1"/>
    <col min="133" max="133" width="12.42578125" style="218" hidden="1" customWidth="1"/>
    <col min="134" max="134" width="13.28515625" style="218" hidden="1" customWidth="1"/>
    <col min="135" max="135" width="0.85546875" style="218" hidden="1" customWidth="1"/>
    <col min="136" max="136" width="9.7109375" style="218" customWidth="1"/>
    <col min="137" max="137" width="8.7109375" style="218" customWidth="1"/>
    <col min="138" max="138" width="10.140625" style="218" customWidth="1"/>
    <col min="139" max="139" width="10.85546875" style="218" customWidth="1"/>
    <col min="140" max="140" width="13.28515625" style="218" hidden="1" customWidth="1"/>
    <col min="141" max="141" width="12.7109375" style="218" hidden="1" customWidth="1"/>
    <col min="142" max="142" width="13.28515625" style="218" hidden="1" customWidth="1"/>
    <col min="143" max="143" width="0.85546875" style="218" hidden="1" customWidth="1"/>
    <col min="144" max="144" width="10.28515625" style="218" customWidth="1"/>
    <col min="145" max="145" width="10.85546875" style="218" customWidth="1"/>
    <col min="146" max="146" width="10.140625" style="218" customWidth="1"/>
    <col min="147" max="147" width="11" style="218" customWidth="1"/>
    <col min="148" max="148" width="13.28515625" style="218" hidden="1" customWidth="1"/>
    <col min="149" max="149" width="12.28515625" style="218" hidden="1" customWidth="1"/>
    <col min="150" max="150" width="13.28515625" style="218" hidden="1" customWidth="1"/>
    <col min="151" max="151" width="0.85546875" style="218" hidden="1" customWidth="1"/>
    <col min="152" max="152" width="10.5703125" style="218" customWidth="1"/>
    <col min="153" max="153" width="10" style="218" customWidth="1"/>
    <col min="154" max="154" width="10.28515625" style="218" customWidth="1"/>
    <col min="155" max="155" width="11.42578125" style="218" customWidth="1"/>
    <col min="156" max="156" width="13.28515625" style="218" hidden="1" customWidth="1"/>
    <col min="157" max="157" width="12.7109375" style="218" hidden="1" customWidth="1"/>
    <col min="158" max="158" width="13.28515625" style="218" hidden="1" customWidth="1"/>
    <col min="159" max="159" width="0.85546875" style="218" customWidth="1"/>
    <col min="160" max="16384" width="9.140625" style="218"/>
  </cols>
  <sheetData>
    <row r="1" spans="1:159" ht="23.1" customHeight="1">
      <c r="B1" s="1793" t="s">
        <v>199</v>
      </c>
      <c r="C1" s="1793"/>
      <c r="D1" s="1793"/>
      <c r="E1" s="1793"/>
      <c r="F1" s="1793"/>
      <c r="G1" s="1793"/>
      <c r="H1" s="1793"/>
      <c r="I1" s="1793"/>
      <c r="J1" s="1793"/>
      <c r="K1" s="1793"/>
      <c r="L1" s="1793"/>
      <c r="M1" s="1793"/>
      <c r="N1" s="1793"/>
      <c r="O1" s="201"/>
      <c r="P1" s="201"/>
      <c r="Q1" s="201"/>
      <c r="R1" s="201"/>
      <c r="S1" s="201"/>
      <c r="T1" s="201"/>
      <c r="U1" s="201"/>
      <c r="V1" s="201"/>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row>
    <row r="2" spans="1:159" ht="23.1" customHeight="1">
      <c r="B2" s="1794" t="s">
        <v>263</v>
      </c>
      <c r="C2" s="1794"/>
      <c r="D2" s="1794"/>
      <c r="E2" s="1794"/>
      <c r="F2" s="1794"/>
      <c r="G2" s="1794"/>
      <c r="H2" s="1794"/>
      <c r="I2" s="1794"/>
      <c r="J2" s="1794"/>
      <c r="K2" s="1794"/>
      <c r="L2" s="1794"/>
      <c r="M2" s="1794"/>
      <c r="N2" s="1794"/>
      <c r="O2" s="202"/>
      <c r="P2" s="202"/>
      <c r="Q2" s="202"/>
      <c r="R2" s="202"/>
      <c r="S2" s="202"/>
      <c r="T2" s="202"/>
      <c r="U2" s="202"/>
      <c r="V2" s="202"/>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row>
    <row r="3" spans="1:159" ht="23.1" customHeight="1">
      <c r="B3" s="1795" t="s">
        <v>284</v>
      </c>
      <c r="C3" s="1795"/>
      <c r="D3" s="1795"/>
      <c r="E3" s="1795"/>
      <c r="F3" s="1795"/>
      <c r="G3" s="1795"/>
      <c r="H3" s="1795"/>
      <c r="I3" s="1795"/>
      <c r="J3" s="1795"/>
      <c r="K3" s="1795"/>
      <c r="L3" s="1795"/>
      <c r="M3" s="1795"/>
      <c r="N3" s="1795"/>
      <c r="O3" s="203"/>
      <c r="P3" s="203"/>
      <c r="Q3" s="203"/>
      <c r="R3" s="203"/>
      <c r="S3" s="203"/>
      <c r="T3" s="203"/>
      <c r="U3" s="203"/>
      <c r="V3" s="203"/>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row>
    <row r="4" spans="1:159" ht="23.1" customHeight="1" thickBot="1">
      <c r="A4" s="217"/>
      <c r="B4" s="217"/>
      <c r="C4" s="217"/>
      <c r="D4" s="217"/>
      <c r="E4" s="217"/>
      <c r="F4" s="217"/>
      <c r="G4" s="217"/>
      <c r="H4" s="217"/>
      <c r="I4" s="690"/>
      <c r="J4" s="217"/>
      <c r="K4" s="690"/>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row>
    <row r="5" spans="1:159" ht="16.5" thickTop="1">
      <c r="A5" s="1717" t="s">
        <v>7</v>
      </c>
      <c r="B5" s="1831"/>
      <c r="C5" s="1718"/>
      <c r="D5" s="1834" t="s">
        <v>13</v>
      </c>
      <c r="E5" s="1810" t="s">
        <v>8</v>
      </c>
      <c r="F5" s="1807" t="s">
        <v>43</v>
      </c>
      <c r="G5" s="1807" t="s">
        <v>869</v>
      </c>
      <c r="H5" s="929"/>
      <c r="I5" s="1796" t="s">
        <v>248</v>
      </c>
      <c r="J5" s="1816"/>
      <c r="K5" s="1797"/>
      <c r="L5" s="863"/>
      <c r="M5" s="1796">
        <v>2021</v>
      </c>
      <c r="N5" s="1797"/>
      <c r="O5" s="930"/>
      <c r="P5" s="1726" t="s">
        <v>255</v>
      </c>
      <c r="Q5" s="1727"/>
      <c r="R5" s="1728"/>
      <c r="S5" s="931"/>
      <c r="T5" s="1729" t="s">
        <v>256</v>
      </c>
      <c r="U5" s="1730"/>
      <c r="V5" s="1731"/>
      <c r="W5" s="932"/>
      <c r="X5" s="1729" t="s">
        <v>268</v>
      </c>
      <c r="Y5" s="1730"/>
      <c r="Z5" s="1731"/>
      <c r="AA5" s="932"/>
      <c r="AB5" s="1757" t="s">
        <v>275</v>
      </c>
      <c r="AC5" s="1758"/>
      <c r="AD5" s="1759"/>
      <c r="AE5" s="837"/>
      <c r="AF5" s="1726" t="s">
        <v>276</v>
      </c>
      <c r="AG5" s="1727"/>
      <c r="AH5" s="1727"/>
      <c r="AI5" s="1727"/>
      <c r="AJ5" s="1727"/>
      <c r="AK5" s="1727"/>
      <c r="AL5" s="1728"/>
      <c r="AM5" s="932"/>
      <c r="AN5" s="1726" t="s">
        <v>302</v>
      </c>
      <c r="AO5" s="1727"/>
      <c r="AP5" s="1727"/>
      <c r="AQ5" s="1727"/>
      <c r="AR5" s="1727"/>
      <c r="AS5" s="1727"/>
      <c r="AT5" s="1728"/>
      <c r="AU5" s="932"/>
      <c r="AV5" s="1726" t="s">
        <v>303</v>
      </c>
      <c r="AW5" s="1727"/>
      <c r="AX5" s="1727"/>
      <c r="AY5" s="1728"/>
      <c r="AZ5" s="1790"/>
      <c r="BA5" s="1727"/>
      <c r="BB5" s="1728"/>
      <c r="BC5" s="932"/>
      <c r="BD5" s="1765" t="s">
        <v>305</v>
      </c>
      <c r="BE5" s="1766"/>
      <c r="BF5" s="1766"/>
      <c r="BG5" s="1766"/>
      <c r="BH5" s="1766"/>
      <c r="BI5" s="1766"/>
      <c r="BJ5" s="1767"/>
      <c r="BK5" s="863"/>
      <c r="BL5" s="1772" t="s">
        <v>306</v>
      </c>
      <c r="BM5" s="1773"/>
      <c r="BN5" s="1773"/>
      <c r="BO5" s="1773"/>
      <c r="BP5" s="1773"/>
      <c r="BQ5" s="1773"/>
      <c r="BR5" s="1774"/>
      <c r="BS5" s="932"/>
      <c r="BT5" s="1726" t="s">
        <v>304</v>
      </c>
      <c r="BU5" s="1727"/>
      <c r="BV5" s="1727"/>
      <c r="BW5" s="1728"/>
      <c r="BX5" s="1790"/>
      <c r="BY5" s="1727"/>
      <c r="BZ5" s="1728"/>
      <c r="CA5" s="932"/>
      <c r="CB5" s="1726" t="s">
        <v>307</v>
      </c>
      <c r="CC5" s="1727"/>
      <c r="CD5" s="1727"/>
      <c r="CE5" s="1727"/>
      <c r="CF5" s="1727"/>
      <c r="CG5" s="1727"/>
      <c r="CH5" s="1728"/>
      <c r="CI5" s="932"/>
      <c r="CJ5" s="1726" t="s">
        <v>308</v>
      </c>
      <c r="CK5" s="1727"/>
      <c r="CL5" s="1727"/>
      <c r="CM5" s="1727"/>
      <c r="CN5" s="1727"/>
      <c r="CO5" s="1727"/>
      <c r="CP5" s="1728"/>
      <c r="CQ5" s="932"/>
      <c r="CR5" s="1765" t="s">
        <v>309</v>
      </c>
      <c r="CS5" s="1766"/>
      <c r="CT5" s="1766"/>
      <c r="CU5" s="1766"/>
      <c r="CV5" s="1766"/>
      <c r="CW5" s="1766"/>
      <c r="CX5" s="1767"/>
      <c r="CY5" s="863"/>
      <c r="CZ5" s="1775" t="s">
        <v>310</v>
      </c>
      <c r="DA5" s="1776"/>
      <c r="DB5" s="1776"/>
      <c r="DC5" s="1776"/>
      <c r="DD5" s="1776"/>
      <c r="DE5" s="1776"/>
      <c r="DF5" s="1777"/>
      <c r="DG5" s="932"/>
      <c r="DH5" s="1726" t="s">
        <v>311</v>
      </c>
      <c r="DI5" s="1727"/>
      <c r="DJ5" s="1727"/>
      <c r="DK5" s="1727"/>
      <c r="DL5" s="1727"/>
      <c r="DM5" s="1727"/>
      <c r="DN5" s="1728"/>
      <c r="DO5" s="932"/>
      <c r="DP5" s="1726" t="s">
        <v>312</v>
      </c>
      <c r="DQ5" s="1727"/>
      <c r="DR5" s="1727"/>
      <c r="DS5" s="1727"/>
      <c r="DT5" s="1727"/>
      <c r="DU5" s="1727"/>
      <c r="DV5" s="1728"/>
      <c r="DW5" s="932"/>
      <c r="DX5" s="1726" t="s">
        <v>313</v>
      </c>
      <c r="DY5" s="1727"/>
      <c r="DZ5" s="1727"/>
      <c r="EA5" s="1727"/>
      <c r="EB5" s="1727"/>
      <c r="EC5" s="1727"/>
      <c r="ED5" s="1728"/>
      <c r="EE5" s="221"/>
      <c r="EF5" s="1787" t="s">
        <v>314</v>
      </c>
      <c r="EG5" s="1788"/>
      <c r="EH5" s="1788"/>
      <c r="EI5" s="1788"/>
      <c r="EJ5" s="1788"/>
      <c r="EK5" s="1788"/>
      <c r="EL5" s="1789"/>
      <c r="EM5" s="187"/>
      <c r="EN5" s="1784" t="s">
        <v>315</v>
      </c>
      <c r="EO5" s="1785"/>
      <c r="EP5" s="1785"/>
      <c r="EQ5" s="1785"/>
      <c r="ER5" s="1785"/>
      <c r="ES5" s="1785"/>
      <c r="ET5" s="1786"/>
      <c r="EU5" s="187"/>
      <c r="EV5" s="1781" t="s">
        <v>316</v>
      </c>
      <c r="EW5" s="1782"/>
      <c r="EX5" s="1782"/>
      <c r="EY5" s="1782"/>
      <c r="EZ5" s="1782"/>
      <c r="FA5" s="1782"/>
      <c r="FB5" s="1783"/>
    </row>
    <row r="6" spans="1:159" s="166" customFormat="1" ht="15" customHeight="1">
      <c r="A6" s="1719"/>
      <c r="B6" s="1832"/>
      <c r="C6" s="1720"/>
      <c r="D6" s="1835"/>
      <c r="E6" s="1811"/>
      <c r="F6" s="1808"/>
      <c r="G6" s="1808"/>
      <c r="H6" s="933"/>
      <c r="I6" s="1817" t="s">
        <v>249</v>
      </c>
      <c r="J6" s="1752" t="s">
        <v>250</v>
      </c>
      <c r="K6" s="1709"/>
      <c r="L6" s="865"/>
      <c r="M6" s="1725" t="s">
        <v>253</v>
      </c>
      <c r="N6" s="1709" t="s">
        <v>870</v>
      </c>
      <c r="O6" s="933"/>
      <c r="P6" s="1725" t="s">
        <v>116</v>
      </c>
      <c r="Q6" s="1752" t="s">
        <v>254</v>
      </c>
      <c r="R6" s="1709" t="s">
        <v>460</v>
      </c>
      <c r="S6" s="934"/>
      <c r="T6" s="1725" t="s">
        <v>116</v>
      </c>
      <c r="U6" s="1752" t="s">
        <v>254</v>
      </c>
      <c r="V6" s="1709" t="s">
        <v>460</v>
      </c>
      <c r="W6" s="865"/>
      <c r="X6" s="1725" t="s">
        <v>116</v>
      </c>
      <c r="Y6" s="1752" t="s">
        <v>254</v>
      </c>
      <c r="Z6" s="1709" t="s">
        <v>460</v>
      </c>
      <c r="AA6" s="865"/>
      <c r="AB6" s="1725" t="s">
        <v>116</v>
      </c>
      <c r="AC6" s="1752" t="s">
        <v>254</v>
      </c>
      <c r="AD6" s="1709" t="s">
        <v>460</v>
      </c>
      <c r="AE6" s="414"/>
      <c r="AF6" s="1725" t="s">
        <v>116</v>
      </c>
      <c r="AG6" s="1752" t="s">
        <v>277</v>
      </c>
      <c r="AH6" s="1752" t="s">
        <v>254</v>
      </c>
      <c r="AI6" s="1709" t="s">
        <v>460</v>
      </c>
      <c r="AJ6" s="1752" t="s">
        <v>280</v>
      </c>
      <c r="AK6" s="1752" t="s">
        <v>281</v>
      </c>
      <c r="AL6" s="1709" t="s">
        <v>278</v>
      </c>
      <c r="AM6" s="865"/>
      <c r="AN6" s="1725" t="s">
        <v>116</v>
      </c>
      <c r="AO6" s="1752" t="s">
        <v>277</v>
      </c>
      <c r="AP6" s="1752" t="s">
        <v>254</v>
      </c>
      <c r="AQ6" s="1752" t="s">
        <v>376</v>
      </c>
      <c r="AR6" s="1752" t="s">
        <v>280</v>
      </c>
      <c r="AS6" s="1752" t="s">
        <v>281</v>
      </c>
      <c r="AT6" s="1709" t="s">
        <v>278</v>
      </c>
      <c r="AU6" s="865"/>
      <c r="AV6" s="1725" t="s">
        <v>116</v>
      </c>
      <c r="AW6" s="1752" t="s">
        <v>277</v>
      </c>
      <c r="AX6" s="1752" t="s">
        <v>254</v>
      </c>
      <c r="AY6" s="1709" t="s">
        <v>376</v>
      </c>
      <c r="AZ6" s="1791" t="s">
        <v>280</v>
      </c>
      <c r="BA6" s="1752" t="s">
        <v>281</v>
      </c>
      <c r="BB6" s="1709" t="s">
        <v>278</v>
      </c>
      <c r="BC6" s="865"/>
      <c r="BD6" s="1725" t="s">
        <v>116</v>
      </c>
      <c r="BE6" s="1752" t="s">
        <v>277</v>
      </c>
      <c r="BF6" s="1752" t="s">
        <v>254</v>
      </c>
      <c r="BG6" s="1752" t="s">
        <v>376</v>
      </c>
      <c r="BH6" s="1752" t="s">
        <v>280</v>
      </c>
      <c r="BI6" s="1752" t="s">
        <v>281</v>
      </c>
      <c r="BJ6" s="1709" t="s">
        <v>278</v>
      </c>
      <c r="BK6" s="865"/>
      <c r="BL6" s="1725" t="s">
        <v>116</v>
      </c>
      <c r="BM6" s="1752" t="s">
        <v>277</v>
      </c>
      <c r="BN6" s="1752" t="s">
        <v>254</v>
      </c>
      <c r="BO6" s="1752" t="s">
        <v>376</v>
      </c>
      <c r="BP6" s="1752" t="s">
        <v>280</v>
      </c>
      <c r="BQ6" s="1752" t="s">
        <v>281</v>
      </c>
      <c r="BR6" s="1709" t="s">
        <v>278</v>
      </c>
      <c r="BS6" s="865"/>
      <c r="BT6" s="1725" t="s">
        <v>116</v>
      </c>
      <c r="BU6" s="1752" t="s">
        <v>277</v>
      </c>
      <c r="BV6" s="1752" t="s">
        <v>254</v>
      </c>
      <c r="BW6" s="1709" t="s">
        <v>376</v>
      </c>
      <c r="BX6" s="1791" t="s">
        <v>280</v>
      </c>
      <c r="BY6" s="1752" t="s">
        <v>281</v>
      </c>
      <c r="BZ6" s="1709" t="s">
        <v>278</v>
      </c>
      <c r="CA6" s="865"/>
      <c r="CB6" s="1725" t="s">
        <v>116</v>
      </c>
      <c r="CC6" s="1752" t="s">
        <v>277</v>
      </c>
      <c r="CD6" s="1752" t="s">
        <v>254</v>
      </c>
      <c r="CE6" s="1752" t="s">
        <v>376</v>
      </c>
      <c r="CF6" s="1752" t="s">
        <v>280</v>
      </c>
      <c r="CG6" s="1752" t="s">
        <v>281</v>
      </c>
      <c r="CH6" s="1709" t="s">
        <v>278</v>
      </c>
      <c r="CI6" s="865"/>
      <c r="CJ6" s="1725" t="s">
        <v>116</v>
      </c>
      <c r="CK6" s="1752" t="s">
        <v>277</v>
      </c>
      <c r="CL6" s="1752" t="s">
        <v>254</v>
      </c>
      <c r="CM6" s="1752" t="s">
        <v>376</v>
      </c>
      <c r="CN6" s="1752" t="s">
        <v>280</v>
      </c>
      <c r="CO6" s="1752" t="s">
        <v>281</v>
      </c>
      <c r="CP6" s="1709" t="s">
        <v>278</v>
      </c>
      <c r="CQ6" s="865"/>
      <c r="CR6" s="1725" t="s">
        <v>116</v>
      </c>
      <c r="CS6" s="1752" t="s">
        <v>277</v>
      </c>
      <c r="CT6" s="1752" t="s">
        <v>254</v>
      </c>
      <c r="CU6" s="1752" t="s">
        <v>376</v>
      </c>
      <c r="CV6" s="1752" t="s">
        <v>280</v>
      </c>
      <c r="CW6" s="1752" t="s">
        <v>281</v>
      </c>
      <c r="CX6" s="1709" t="s">
        <v>278</v>
      </c>
      <c r="CY6" s="865"/>
      <c r="CZ6" s="1725" t="s">
        <v>116</v>
      </c>
      <c r="DA6" s="1752" t="s">
        <v>277</v>
      </c>
      <c r="DB6" s="1752" t="s">
        <v>254</v>
      </c>
      <c r="DC6" s="1752" t="s">
        <v>376</v>
      </c>
      <c r="DD6" s="1752" t="s">
        <v>280</v>
      </c>
      <c r="DE6" s="1752" t="s">
        <v>281</v>
      </c>
      <c r="DF6" s="1709" t="s">
        <v>278</v>
      </c>
      <c r="DG6" s="865"/>
      <c r="DH6" s="1725" t="s">
        <v>116</v>
      </c>
      <c r="DI6" s="1752" t="s">
        <v>277</v>
      </c>
      <c r="DJ6" s="1752" t="s">
        <v>254</v>
      </c>
      <c r="DK6" s="1752" t="s">
        <v>376</v>
      </c>
      <c r="DL6" s="1752" t="s">
        <v>280</v>
      </c>
      <c r="DM6" s="1752" t="s">
        <v>281</v>
      </c>
      <c r="DN6" s="1709" t="s">
        <v>278</v>
      </c>
      <c r="DO6" s="865"/>
      <c r="DP6" s="1725" t="s">
        <v>116</v>
      </c>
      <c r="DQ6" s="1752" t="s">
        <v>277</v>
      </c>
      <c r="DR6" s="1752" t="s">
        <v>254</v>
      </c>
      <c r="DS6" s="1752" t="s">
        <v>376</v>
      </c>
      <c r="DT6" s="1752" t="s">
        <v>280</v>
      </c>
      <c r="DU6" s="1752" t="s">
        <v>281</v>
      </c>
      <c r="DV6" s="1709" t="s">
        <v>278</v>
      </c>
      <c r="DW6" s="865"/>
      <c r="DX6" s="1725" t="s">
        <v>116</v>
      </c>
      <c r="DY6" s="1752" t="s">
        <v>277</v>
      </c>
      <c r="DZ6" s="1752" t="s">
        <v>254</v>
      </c>
      <c r="EA6" s="1752" t="s">
        <v>376</v>
      </c>
      <c r="EB6" s="1752" t="s">
        <v>280</v>
      </c>
      <c r="EC6" s="1752" t="s">
        <v>281</v>
      </c>
      <c r="ED6" s="1709" t="s">
        <v>278</v>
      </c>
      <c r="EE6" s="187"/>
      <c r="EF6" s="1725" t="s">
        <v>116</v>
      </c>
      <c r="EG6" s="1752" t="s">
        <v>277</v>
      </c>
      <c r="EH6" s="1752" t="s">
        <v>254</v>
      </c>
      <c r="EI6" s="1752" t="s">
        <v>376</v>
      </c>
      <c r="EJ6" s="1752" t="s">
        <v>280</v>
      </c>
      <c r="EK6" s="1752" t="s">
        <v>281</v>
      </c>
      <c r="EL6" s="1709" t="s">
        <v>278</v>
      </c>
      <c r="EM6" s="187"/>
      <c r="EN6" s="1725" t="s">
        <v>116</v>
      </c>
      <c r="EO6" s="1752" t="s">
        <v>277</v>
      </c>
      <c r="EP6" s="1752" t="s">
        <v>254</v>
      </c>
      <c r="EQ6" s="1752" t="s">
        <v>376</v>
      </c>
      <c r="ER6" s="1752" t="s">
        <v>280</v>
      </c>
      <c r="ES6" s="1752" t="s">
        <v>281</v>
      </c>
      <c r="ET6" s="1709" t="s">
        <v>278</v>
      </c>
      <c r="EU6" s="187"/>
      <c r="EV6" s="1725" t="s">
        <v>116</v>
      </c>
      <c r="EW6" s="1752" t="s">
        <v>277</v>
      </c>
      <c r="EX6" s="1752" t="s">
        <v>254</v>
      </c>
      <c r="EY6" s="1752" t="s">
        <v>376</v>
      </c>
      <c r="EZ6" s="1752" t="s">
        <v>280</v>
      </c>
      <c r="FA6" s="1752" t="s">
        <v>281</v>
      </c>
      <c r="FB6" s="1709" t="s">
        <v>278</v>
      </c>
    </row>
    <row r="7" spans="1:159" s="166" customFormat="1" ht="30.75" thickBot="1">
      <c r="A7" s="1721"/>
      <c r="B7" s="1833"/>
      <c r="C7" s="1722"/>
      <c r="D7" s="1836"/>
      <c r="E7" s="1812"/>
      <c r="F7" s="1809"/>
      <c r="G7" s="1809"/>
      <c r="H7" s="933"/>
      <c r="I7" s="1760"/>
      <c r="J7" s="180" t="s">
        <v>251</v>
      </c>
      <c r="K7" s="1157" t="s">
        <v>252</v>
      </c>
      <c r="L7" s="865"/>
      <c r="M7" s="1725"/>
      <c r="N7" s="1710"/>
      <c r="O7" s="933"/>
      <c r="P7" s="1707"/>
      <c r="Q7" s="1753"/>
      <c r="R7" s="1710"/>
      <c r="S7" s="934"/>
      <c r="T7" s="1707"/>
      <c r="U7" s="1753"/>
      <c r="V7" s="1710"/>
      <c r="W7" s="865"/>
      <c r="X7" s="1707"/>
      <c r="Y7" s="1753"/>
      <c r="Z7" s="1710"/>
      <c r="AA7" s="865"/>
      <c r="AB7" s="1707"/>
      <c r="AC7" s="1753"/>
      <c r="AD7" s="1710"/>
      <c r="AE7" s="414"/>
      <c r="AF7" s="1707"/>
      <c r="AG7" s="1753"/>
      <c r="AH7" s="1753"/>
      <c r="AI7" s="1710"/>
      <c r="AJ7" s="1753"/>
      <c r="AK7" s="1753"/>
      <c r="AL7" s="1710"/>
      <c r="AM7" s="865"/>
      <c r="AN7" s="1707"/>
      <c r="AO7" s="1753"/>
      <c r="AP7" s="1753"/>
      <c r="AQ7" s="1753"/>
      <c r="AR7" s="1753"/>
      <c r="AS7" s="1753"/>
      <c r="AT7" s="1710"/>
      <c r="AU7" s="865"/>
      <c r="AV7" s="1707"/>
      <c r="AW7" s="1753"/>
      <c r="AX7" s="1753"/>
      <c r="AY7" s="1710"/>
      <c r="AZ7" s="1792"/>
      <c r="BA7" s="1753"/>
      <c r="BB7" s="1710"/>
      <c r="BC7" s="865"/>
      <c r="BD7" s="1707"/>
      <c r="BE7" s="1753"/>
      <c r="BF7" s="1753"/>
      <c r="BG7" s="1753"/>
      <c r="BH7" s="1753"/>
      <c r="BI7" s="1753"/>
      <c r="BJ7" s="1710"/>
      <c r="BK7" s="865"/>
      <c r="BL7" s="1707"/>
      <c r="BM7" s="1753"/>
      <c r="BN7" s="1753"/>
      <c r="BO7" s="1753"/>
      <c r="BP7" s="1753"/>
      <c r="BQ7" s="1753"/>
      <c r="BR7" s="1710"/>
      <c r="BS7" s="865"/>
      <c r="BT7" s="1707"/>
      <c r="BU7" s="1753"/>
      <c r="BV7" s="1753"/>
      <c r="BW7" s="1710"/>
      <c r="BX7" s="1792"/>
      <c r="BY7" s="1753"/>
      <c r="BZ7" s="1710"/>
      <c r="CA7" s="865"/>
      <c r="CB7" s="1707"/>
      <c r="CC7" s="1753"/>
      <c r="CD7" s="1753"/>
      <c r="CE7" s="1753"/>
      <c r="CF7" s="1753"/>
      <c r="CG7" s="1753"/>
      <c r="CH7" s="1710"/>
      <c r="CI7" s="865"/>
      <c r="CJ7" s="1707"/>
      <c r="CK7" s="1753"/>
      <c r="CL7" s="1753"/>
      <c r="CM7" s="1753"/>
      <c r="CN7" s="1753"/>
      <c r="CO7" s="1753"/>
      <c r="CP7" s="1710"/>
      <c r="CQ7" s="865"/>
      <c r="CR7" s="1707"/>
      <c r="CS7" s="1753"/>
      <c r="CT7" s="1753"/>
      <c r="CU7" s="1753"/>
      <c r="CV7" s="1753"/>
      <c r="CW7" s="1753"/>
      <c r="CX7" s="1710"/>
      <c r="CY7" s="865"/>
      <c r="CZ7" s="1707"/>
      <c r="DA7" s="1753"/>
      <c r="DB7" s="1753"/>
      <c r="DC7" s="1753"/>
      <c r="DD7" s="1753"/>
      <c r="DE7" s="1753"/>
      <c r="DF7" s="1710"/>
      <c r="DG7" s="865"/>
      <c r="DH7" s="1707"/>
      <c r="DI7" s="1753"/>
      <c r="DJ7" s="1753"/>
      <c r="DK7" s="1753"/>
      <c r="DL7" s="1753"/>
      <c r="DM7" s="1753"/>
      <c r="DN7" s="1710"/>
      <c r="DO7" s="865"/>
      <c r="DP7" s="1707"/>
      <c r="DQ7" s="1753"/>
      <c r="DR7" s="1753"/>
      <c r="DS7" s="1753"/>
      <c r="DT7" s="1753"/>
      <c r="DU7" s="1753"/>
      <c r="DV7" s="1710"/>
      <c r="DW7" s="865"/>
      <c r="DX7" s="1707"/>
      <c r="DY7" s="1753"/>
      <c r="DZ7" s="1753"/>
      <c r="EA7" s="1753"/>
      <c r="EB7" s="1753"/>
      <c r="EC7" s="1753"/>
      <c r="ED7" s="1710"/>
      <c r="EE7" s="187"/>
      <c r="EF7" s="1707"/>
      <c r="EG7" s="1753"/>
      <c r="EH7" s="1753"/>
      <c r="EI7" s="1753"/>
      <c r="EJ7" s="1753"/>
      <c r="EK7" s="1753"/>
      <c r="EL7" s="1710"/>
      <c r="EM7" s="187"/>
      <c r="EN7" s="1707"/>
      <c r="EO7" s="1753"/>
      <c r="EP7" s="1753"/>
      <c r="EQ7" s="1753"/>
      <c r="ER7" s="1753"/>
      <c r="ES7" s="1753"/>
      <c r="ET7" s="1710"/>
      <c r="EU7" s="187"/>
      <c r="EV7" s="1707"/>
      <c r="EW7" s="1753"/>
      <c r="EX7" s="1753"/>
      <c r="EY7" s="1753"/>
      <c r="EZ7" s="1753"/>
      <c r="FA7" s="1753"/>
      <c r="FB7" s="1710"/>
    </row>
    <row r="8" spans="1:159" ht="15.75" thickBot="1">
      <c r="A8" s="225">
        <v>1</v>
      </c>
      <c r="B8" s="226">
        <v>1</v>
      </c>
      <c r="C8" s="226">
        <v>2</v>
      </c>
      <c r="D8" s="922">
        <v>3</v>
      </c>
      <c r="E8" s="925">
        <v>4</v>
      </c>
      <c r="F8" s="926">
        <v>5</v>
      </c>
      <c r="G8" s="926">
        <v>6</v>
      </c>
      <c r="H8" s="933"/>
      <c r="I8" s="167">
        <v>7</v>
      </c>
      <c r="J8" s="169">
        <v>8</v>
      </c>
      <c r="K8" s="176">
        <v>9</v>
      </c>
      <c r="L8" s="865"/>
      <c r="M8" s="167">
        <v>10</v>
      </c>
      <c r="N8" s="176">
        <v>11</v>
      </c>
      <c r="O8" s="220"/>
      <c r="P8" s="167">
        <v>12</v>
      </c>
      <c r="Q8" s="169">
        <v>13</v>
      </c>
      <c r="R8" s="176">
        <v>14</v>
      </c>
      <c r="S8" s="934"/>
      <c r="T8" s="167">
        <v>12</v>
      </c>
      <c r="U8" s="169">
        <v>13</v>
      </c>
      <c r="V8" s="176">
        <v>14</v>
      </c>
      <c r="W8" s="223"/>
      <c r="X8" s="167">
        <v>12</v>
      </c>
      <c r="Y8" s="169">
        <v>13</v>
      </c>
      <c r="Z8" s="176">
        <v>14</v>
      </c>
      <c r="AA8" s="223"/>
      <c r="AB8" s="167">
        <v>12</v>
      </c>
      <c r="AC8" s="169">
        <v>13</v>
      </c>
      <c r="AD8" s="176">
        <v>14</v>
      </c>
      <c r="AE8" s="414"/>
      <c r="AF8" s="167">
        <v>12</v>
      </c>
      <c r="AG8" s="168"/>
      <c r="AH8" s="731">
        <v>13</v>
      </c>
      <c r="AI8" s="176">
        <v>14</v>
      </c>
      <c r="AJ8" s="170"/>
      <c r="AK8" s="169">
        <v>14</v>
      </c>
      <c r="AL8" s="171"/>
      <c r="AM8" s="223"/>
      <c r="AN8" s="167">
        <v>12</v>
      </c>
      <c r="AO8" s="168"/>
      <c r="AP8" s="169">
        <v>13</v>
      </c>
      <c r="AQ8" s="176">
        <v>14</v>
      </c>
      <c r="AR8" s="170"/>
      <c r="AS8" s="169">
        <v>14</v>
      </c>
      <c r="AT8" s="171"/>
      <c r="AU8" s="223"/>
      <c r="AV8" s="167">
        <v>12</v>
      </c>
      <c r="AW8" s="168"/>
      <c r="AX8" s="169">
        <v>13</v>
      </c>
      <c r="AY8" s="176">
        <v>14</v>
      </c>
      <c r="AZ8" s="896"/>
      <c r="BA8" s="169">
        <v>14</v>
      </c>
      <c r="BB8" s="171"/>
      <c r="BC8" s="223"/>
      <c r="BD8" s="167">
        <v>12</v>
      </c>
      <c r="BE8" s="168"/>
      <c r="BF8" s="169">
        <v>13</v>
      </c>
      <c r="BG8" s="170">
        <v>14</v>
      </c>
      <c r="BH8" s="170"/>
      <c r="BI8" s="169">
        <v>14</v>
      </c>
      <c r="BJ8" s="171"/>
      <c r="BK8" s="223"/>
      <c r="BL8" s="167">
        <v>12</v>
      </c>
      <c r="BM8" s="168"/>
      <c r="BN8" s="169">
        <v>13</v>
      </c>
      <c r="BO8" s="170">
        <v>14</v>
      </c>
      <c r="BP8" s="170"/>
      <c r="BQ8" s="169">
        <v>14</v>
      </c>
      <c r="BR8" s="171"/>
      <c r="BS8" s="223"/>
      <c r="BT8" s="167">
        <v>12</v>
      </c>
      <c r="BU8" s="168"/>
      <c r="BV8" s="169">
        <v>13</v>
      </c>
      <c r="BW8" s="176">
        <v>14</v>
      </c>
      <c r="BX8" s="896"/>
      <c r="BY8" s="169">
        <v>14</v>
      </c>
      <c r="BZ8" s="171"/>
      <c r="CA8" s="223"/>
      <c r="CB8" s="167">
        <v>12</v>
      </c>
      <c r="CC8" s="168"/>
      <c r="CD8" s="169">
        <v>13</v>
      </c>
      <c r="CE8" s="176">
        <v>14</v>
      </c>
      <c r="CF8" s="170"/>
      <c r="CG8" s="169">
        <v>14</v>
      </c>
      <c r="CH8" s="171"/>
      <c r="CI8" s="223"/>
      <c r="CJ8" s="167">
        <v>12</v>
      </c>
      <c r="CK8" s="168"/>
      <c r="CL8" s="169">
        <v>13</v>
      </c>
      <c r="CM8" s="176">
        <v>14</v>
      </c>
      <c r="CN8" s="170"/>
      <c r="CO8" s="169">
        <v>14</v>
      </c>
      <c r="CP8" s="171"/>
      <c r="CQ8" s="223"/>
      <c r="CR8" s="167">
        <v>12</v>
      </c>
      <c r="CS8" s="168"/>
      <c r="CT8" s="169">
        <v>13</v>
      </c>
      <c r="CU8" s="170">
        <v>14</v>
      </c>
      <c r="CV8" s="170"/>
      <c r="CW8" s="169">
        <v>14</v>
      </c>
      <c r="CX8" s="171"/>
      <c r="CY8" s="223"/>
      <c r="CZ8" s="167">
        <v>12</v>
      </c>
      <c r="DA8" s="168"/>
      <c r="DB8" s="169">
        <v>13</v>
      </c>
      <c r="DC8" s="170">
        <v>14</v>
      </c>
      <c r="DD8" s="170"/>
      <c r="DE8" s="169">
        <v>14</v>
      </c>
      <c r="DF8" s="171"/>
      <c r="DG8" s="223"/>
      <c r="DH8" s="167">
        <v>12</v>
      </c>
      <c r="DI8" s="168"/>
      <c r="DJ8" s="1154">
        <v>13</v>
      </c>
      <c r="DK8" s="176">
        <v>14</v>
      </c>
      <c r="DL8" s="170"/>
      <c r="DM8" s="169">
        <v>14</v>
      </c>
      <c r="DN8" s="171"/>
      <c r="DO8" s="223"/>
      <c r="DP8" s="167">
        <v>12</v>
      </c>
      <c r="DQ8" s="168"/>
      <c r="DR8" s="169">
        <v>13</v>
      </c>
      <c r="DS8" s="176">
        <v>14</v>
      </c>
      <c r="DT8" s="170"/>
      <c r="DU8" s="169">
        <v>14</v>
      </c>
      <c r="DV8" s="171"/>
      <c r="DW8" s="223"/>
      <c r="DX8" s="167">
        <v>12</v>
      </c>
      <c r="DY8" s="168"/>
      <c r="DZ8" s="169">
        <v>13</v>
      </c>
      <c r="EA8" s="176">
        <v>14</v>
      </c>
      <c r="EB8" s="170"/>
      <c r="EC8" s="169">
        <v>14</v>
      </c>
      <c r="ED8" s="171"/>
      <c r="EE8" s="221"/>
      <c r="EF8" s="167">
        <v>12</v>
      </c>
      <c r="EG8" s="168"/>
      <c r="EH8" s="169">
        <v>13</v>
      </c>
      <c r="EI8" s="170">
        <v>14</v>
      </c>
      <c r="EJ8" s="170"/>
      <c r="EK8" s="169">
        <v>14</v>
      </c>
      <c r="EL8" s="171"/>
      <c r="EM8" s="221"/>
      <c r="EN8" s="167">
        <v>12</v>
      </c>
      <c r="EO8" s="168"/>
      <c r="EP8" s="169">
        <v>13</v>
      </c>
      <c r="EQ8" s="170">
        <v>14</v>
      </c>
      <c r="ER8" s="170"/>
      <c r="ES8" s="169">
        <v>14</v>
      </c>
      <c r="ET8" s="171"/>
      <c r="EU8" s="221"/>
      <c r="EV8" s="167">
        <v>12</v>
      </c>
      <c r="EW8" s="168"/>
      <c r="EX8" s="169">
        <v>13</v>
      </c>
      <c r="EY8" s="170">
        <v>14</v>
      </c>
      <c r="EZ8" s="170"/>
      <c r="FA8" s="169">
        <v>14</v>
      </c>
      <c r="FB8" s="171"/>
    </row>
    <row r="9" spans="1:159" s="166" customFormat="1" ht="75" customHeight="1">
      <c r="A9" s="1742" t="s">
        <v>32</v>
      </c>
      <c r="B9" s="1742" t="s">
        <v>32</v>
      </c>
      <c r="C9" s="1745" t="s">
        <v>194</v>
      </c>
      <c r="D9" s="1165" t="s">
        <v>905</v>
      </c>
      <c r="E9" s="890" t="s">
        <v>469</v>
      </c>
      <c r="F9" s="879">
        <v>1</v>
      </c>
      <c r="G9" s="879">
        <v>25</v>
      </c>
      <c r="H9" s="935"/>
      <c r="I9" s="468">
        <v>1</v>
      </c>
      <c r="J9" s="241">
        <v>2.7999999999999997E-2</v>
      </c>
      <c r="K9" s="693">
        <v>2.8</v>
      </c>
      <c r="L9" s="936"/>
      <c r="M9" s="294">
        <v>1</v>
      </c>
      <c r="N9" s="694">
        <v>1.97</v>
      </c>
      <c r="O9" s="936"/>
      <c r="P9" s="852">
        <v>0</v>
      </c>
      <c r="Q9" s="243">
        <v>0</v>
      </c>
      <c r="R9" s="411">
        <v>0</v>
      </c>
      <c r="S9" s="938"/>
      <c r="T9" s="852">
        <v>0</v>
      </c>
      <c r="U9" s="243">
        <v>0</v>
      </c>
      <c r="V9" s="411">
        <v>0</v>
      </c>
      <c r="W9" s="1159"/>
      <c r="X9" s="852">
        <v>10</v>
      </c>
      <c r="Y9" s="243">
        <v>0.19699999999999998</v>
      </c>
      <c r="Z9" s="412">
        <v>4.9249999999999998</v>
      </c>
      <c r="AA9" s="1159"/>
      <c r="AB9" s="852">
        <v>10</v>
      </c>
      <c r="AC9" s="243">
        <v>0.19699999999999998</v>
      </c>
      <c r="AD9" s="245">
        <v>4.9249999999999998</v>
      </c>
      <c r="AE9" s="1159"/>
      <c r="AF9" s="1153">
        <v>60.913705583756354</v>
      </c>
      <c r="AG9" s="1166">
        <v>0.16416666666666666</v>
      </c>
      <c r="AH9" s="1166">
        <v>0.1</v>
      </c>
      <c r="AI9" s="243">
        <v>2.5</v>
      </c>
      <c r="AJ9" s="243">
        <v>0.29699999999999999</v>
      </c>
      <c r="AK9" s="243">
        <v>7.4249999999999998</v>
      </c>
      <c r="AL9" s="411" t="s">
        <v>279</v>
      </c>
      <c r="AM9" s="1162"/>
      <c r="AN9" s="1153">
        <v>60.913705583756354</v>
      </c>
      <c r="AO9" s="1166">
        <v>0.16416666666666666</v>
      </c>
      <c r="AP9" s="1166">
        <v>0.1</v>
      </c>
      <c r="AQ9" s="245">
        <v>2.5</v>
      </c>
      <c r="AR9" s="243">
        <v>7.5249999999999995</v>
      </c>
      <c r="AS9" s="243">
        <v>188.125</v>
      </c>
      <c r="AT9" s="411" t="s">
        <v>279</v>
      </c>
      <c r="AU9" s="1162"/>
      <c r="AV9" s="1153">
        <v>91.370558375634531</v>
      </c>
      <c r="AW9" s="1166">
        <v>0.16416666666666666</v>
      </c>
      <c r="AX9" s="1160">
        <v>0.15</v>
      </c>
      <c r="AY9" s="412">
        <v>3.75</v>
      </c>
      <c r="AZ9" s="1167">
        <v>7.6749999999999998</v>
      </c>
      <c r="BA9" s="243">
        <v>191.875</v>
      </c>
      <c r="BB9" s="411" t="s">
        <v>279</v>
      </c>
      <c r="BC9" s="1162"/>
      <c r="BD9" s="1153">
        <v>71.065989847715741</v>
      </c>
      <c r="BE9" s="243">
        <v>0.49249999999999994</v>
      </c>
      <c r="BF9" s="243">
        <v>0.35</v>
      </c>
      <c r="BG9" s="245">
        <v>8.75</v>
      </c>
      <c r="BH9" s="243">
        <v>7.6749999999999998</v>
      </c>
      <c r="BI9" s="243">
        <v>191.875</v>
      </c>
      <c r="BJ9" s="411" t="s">
        <v>279</v>
      </c>
      <c r="BK9" s="1162"/>
      <c r="BL9" s="1153">
        <v>99.454545454545425</v>
      </c>
      <c r="BM9" s="243">
        <v>0.55000000000000004</v>
      </c>
      <c r="BN9" s="243">
        <v>0.54699999999999993</v>
      </c>
      <c r="BO9" s="245">
        <v>13.674999999999999</v>
      </c>
      <c r="BP9" s="243">
        <v>7.6749999999999998</v>
      </c>
      <c r="BQ9" s="243">
        <v>191.875</v>
      </c>
      <c r="BR9" s="411" t="s">
        <v>279</v>
      </c>
      <c r="BS9" s="1162"/>
      <c r="BT9" s="1153">
        <v>6.091370558375635</v>
      </c>
      <c r="BU9" s="1166">
        <v>0.16416666666666666</v>
      </c>
      <c r="BV9" s="1160">
        <v>0.01</v>
      </c>
      <c r="BW9" s="412">
        <v>0.25</v>
      </c>
      <c r="BX9" s="1167">
        <v>7.6849999999999996</v>
      </c>
      <c r="BY9" s="243">
        <v>192.125</v>
      </c>
      <c r="BZ9" s="411" t="s">
        <v>279</v>
      </c>
      <c r="CA9" s="1162"/>
      <c r="CB9" s="1153">
        <v>60.913705583756354</v>
      </c>
      <c r="CC9" s="1166">
        <v>0.16416666666666666</v>
      </c>
      <c r="CD9" s="1160">
        <v>0.1</v>
      </c>
      <c r="CE9" s="245">
        <v>2.5</v>
      </c>
      <c r="CF9" s="243">
        <v>7.7849999999999993</v>
      </c>
      <c r="CG9" s="243">
        <v>194.62499999999997</v>
      </c>
      <c r="CH9" s="411" t="s">
        <v>279</v>
      </c>
      <c r="CI9" s="1162"/>
      <c r="CJ9" s="1153">
        <v>100.50761421319798</v>
      </c>
      <c r="CK9" s="1160">
        <v>0.21888888888888888</v>
      </c>
      <c r="CL9" s="1160">
        <v>0.22</v>
      </c>
      <c r="CM9" s="245">
        <v>5.5</v>
      </c>
      <c r="CN9" s="243">
        <v>8.004999999999999</v>
      </c>
      <c r="CO9" s="243">
        <v>200.12499999999997</v>
      </c>
      <c r="CP9" s="411" t="s">
        <v>279</v>
      </c>
      <c r="CQ9" s="1162"/>
      <c r="CR9" s="1153">
        <v>60.304568527918789</v>
      </c>
      <c r="CS9" s="243">
        <v>0.54722222222222217</v>
      </c>
      <c r="CT9" s="243">
        <v>0.33</v>
      </c>
      <c r="CU9" s="245">
        <v>8.25</v>
      </c>
      <c r="CV9" s="243">
        <v>8.004999999999999</v>
      </c>
      <c r="CW9" s="243">
        <v>200.12499999999997</v>
      </c>
      <c r="CX9" s="411" t="s">
        <v>279</v>
      </c>
      <c r="CY9" s="1162"/>
      <c r="CZ9" s="1153">
        <v>0</v>
      </c>
      <c r="DA9" s="243"/>
      <c r="DB9" s="243">
        <v>0.877</v>
      </c>
      <c r="DC9" s="245">
        <v>21.925000000000001</v>
      </c>
      <c r="DD9" s="243">
        <v>8.004999999999999</v>
      </c>
      <c r="DE9" s="243">
        <v>200.12499999999997</v>
      </c>
      <c r="DF9" s="411" t="s">
        <v>279</v>
      </c>
      <c r="DG9" s="1162"/>
      <c r="DH9" s="1153">
        <v>105.53299492385788</v>
      </c>
      <c r="DI9" s="1160">
        <v>0.21888888888888888</v>
      </c>
      <c r="DJ9" s="1161">
        <v>0.23100000000000001</v>
      </c>
      <c r="DK9" s="245">
        <v>5.7750000000000004</v>
      </c>
      <c r="DL9" s="243">
        <v>8.2359999999999989</v>
      </c>
      <c r="DM9" s="243">
        <v>205.89999999999998</v>
      </c>
      <c r="DN9" s="411" t="s">
        <v>279</v>
      </c>
      <c r="DO9" s="1162"/>
      <c r="DP9" s="1153">
        <v>0</v>
      </c>
      <c r="DQ9" s="1160">
        <v>0.21888888888888888</v>
      </c>
      <c r="DR9" s="1160"/>
      <c r="DS9" s="245">
        <v>0</v>
      </c>
      <c r="DT9" s="243">
        <v>8.2359999999999989</v>
      </c>
      <c r="DU9" s="243">
        <v>205.89999999999998</v>
      </c>
      <c r="DV9" s="411" t="s">
        <v>279</v>
      </c>
      <c r="DW9" s="1162"/>
      <c r="DX9" s="1153">
        <v>0</v>
      </c>
      <c r="DY9" s="1160">
        <v>0.21888888888888888</v>
      </c>
      <c r="DZ9" s="1160"/>
      <c r="EA9" s="245">
        <v>0</v>
      </c>
      <c r="EB9" s="243">
        <v>8.2359999999999989</v>
      </c>
      <c r="EC9" s="290">
        <v>205.89999999999998</v>
      </c>
      <c r="ED9" s="1168" t="s">
        <v>279</v>
      </c>
      <c r="EE9" s="323"/>
      <c r="EF9" s="1153">
        <v>35.17766497461929</v>
      </c>
      <c r="EG9" s="243">
        <v>0.65666666666666662</v>
      </c>
      <c r="EH9" s="243">
        <v>0.23100000000000001</v>
      </c>
      <c r="EI9" s="252">
        <v>5.7750000000000004</v>
      </c>
      <c r="EJ9" s="243">
        <v>8.2359999999999989</v>
      </c>
      <c r="EK9" s="290">
        <v>205.89999999999998</v>
      </c>
      <c r="EL9" s="244" t="s">
        <v>279</v>
      </c>
      <c r="EM9" s="323"/>
      <c r="EN9" s="1153">
        <v>46.598984771573612</v>
      </c>
      <c r="EO9" s="243">
        <v>1.2038888888888888</v>
      </c>
      <c r="EP9" s="243">
        <v>0.56100000000000005</v>
      </c>
      <c r="EQ9" s="252">
        <v>14.025000000000002</v>
      </c>
      <c r="ER9" s="243">
        <v>8.2359999999999989</v>
      </c>
      <c r="ES9" s="290">
        <v>205.89999999999998</v>
      </c>
      <c r="ET9" s="244" t="s">
        <v>279</v>
      </c>
      <c r="EU9" s="323"/>
      <c r="EV9" s="1153">
        <v>63.173899271460257</v>
      </c>
      <c r="EW9" s="243">
        <v>1.7538888888888888</v>
      </c>
      <c r="EX9" s="243">
        <v>1.1080000000000001</v>
      </c>
      <c r="EY9" s="252">
        <v>27.700000000000003</v>
      </c>
      <c r="EZ9" s="243">
        <v>8.2359999999999989</v>
      </c>
      <c r="FA9" s="290">
        <v>205.89999999999998</v>
      </c>
      <c r="FB9" s="1168" t="s">
        <v>279</v>
      </c>
    </row>
    <row r="10" spans="1:159" s="166" customFormat="1" ht="30" customHeight="1">
      <c r="A10" s="1743"/>
      <c r="B10" s="1743"/>
      <c r="C10" s="1746"/>
      <c r="D10" s="923" t="s">
        <v>843</v>
      </c>
      <c r="E10" s="886" t="s">
        <v>469</v>
      </c>
      <c r="F10" s="873">
        <v>1</v>
      </c>
      <c r="G10" s="874">
        <v>25</v>
      </c>
      <c r="H10" s="935"/>
      <c r="I10" s="469">
        <v>0.5</v>
      </c>
      <c r="J10" s="252">
        <v>5.2999999999999999E-2</v>
      </c>
      <c r="K10" s="694">
        <v>5.3</v>
      </c>
      <c r="L10" s="936"/>
      <c r="M10" s="294">
        <v>0.5</v>
      </c>
      <c r="N10" s="694">
        <v>0.94699999999999995</v>
      </c>
      <c r="O10" s="936"/>
      <c r="P10" s="465">
        <v>0</v>
      </c>
      <c r="Q10" s="245">
        <v>0</v>
      </c>
      <c r="R10" s="412">
        <v>0</v>
      </c>
      <c r="S10" s="938"/>
      <c r="T10" s="465">
        <v>0</v>
      </c>
      <c r="U10" s="245">
        <v>0</v>
      </c>
      <c r="V10" s="412">
        <v>0</v>
      </c>
      <c r="W10" s="1159"/>
      <c r="X10" s="465">
        <v>0</v>
      </c>
      <c r="Y10" s="245">
        <v>0</v>
      </c>
      <c r="Z10" s="412">
        <v>0</v>
      </c>
      <c r="AA10" s="1159"/>
      <c r="AB10" s="465">
        <v>0</v>
      </c>
      <c r="AC10" s="245">
        <v>0</v>
      </c>
      <c r="AD10" s="245">
        <v>0</v>
      </c>
      <c r="AE10" s="1159"/>
      <c r="AF10" s="1148">
        <v>126.71594508975714</v>
      </c>
      <c r="AG10" s="1169">
        <v>7.8916666666666663E-2</v>
      </c>
      <c r="AH10" s="1169">
        <v>0.1</v>
      </c>
      <c r="AI10" s="245">
        <v>2.5</v>
      </c>
      <c r="AJ10" s="245">
        <v>0.1</v>
      </c>
      <c r="AK10" s="245">
        <v>2.5</v>
      </c>
      <c r="AL10" s="412" t="s">
        <v>279</v>
      </c>
      <c r="AM10" s="1162"/>
      <c r="AN10" s="1148">
        <v>126.71594508975714</v>
      </c>
      <c r="AO10" s="1169">
        <v>7.8916666666666663E-2</v>
      </c>
      <c r="AP10" s="1169">
        <v>0.1</v>
      </c>
      <c r="AQ10" s="245">
        <v>2.5</v>
      </c>
      <c r="AR10" s="245">
        <v>2.6</v>
      </c>
      <c r="AS10" s="245">
        <v>65</v>
      </c>
      <c r="AT10" s="412" t="s">
        <v>279</v>
      </c>
      <c r="AU10" s="1162"/>
      <c r="AV10" s="1148">
        <v>63.357972544878535</v>
      </c>
      <c r="AW10" s="1161">
        <v>7.8916666666666704E-2</v>
      </c>
      <c r="AX10" s="1161">
        <v>0.05</v>
      </c>
      <c r="AY10" s="412">
        <v>1.25</v>
      </c>
      <c r="AZ10" s="1170">
        <v>2.65</v>
      </c>
      <c r="BA10" s="245">
        <v>66.25</v>
      </c>
      <c r="BB10" s="412" t="s">
        <v>279</v>
      </c>
      <c r="BC10" s="1162"/>
      <c r="BD10" s="1148">
        <v>105.59662090813093</v>
      </c>
      <c r="BE10" s="245">
        <v>0.23675000000000002</v>
      </c>
      <c r="BF10" s="245">
        <v>0.25</v>
      </c>
      <c r="BG10" s="245">
        <v>6.25</v>
      </c>
      <c r="BH10" s="245">
        <v>2.65</v>
      </c>
      <c r="BI10" s="245">
        <v>66.25</v>
      </c>
      <c r="BJ10" s="412" t="s">
        <v>279</v>
      </c>
      <c r="BK10" s="1162"/>
      <c r="BL10" s="1148">
        <v>0</v>
      </c>
      <c r="BM10" s="245"/>
      <c r="BN10" s="245">
        <v>0.25</v>
      </c>
      <c r="BO10" s="245">
        <v>6.25</v>
      </c>
      <c r="BP10" s="245">
        <v>2.65</v>
      </c>
      <c r="BQ10" s="245">
        <v>66.25</v>
      </c>
      <c r="BR10" s="412" t="s">
        <v>279</v>
      </c>
      <c r="BS10" s="1162"/>
      <c r="BT10" s="1148">
        <v>0</v>
      </c>
      <c r="BU10" s="1161">
        <v>0.08</v>
      </c>
      <c r="BV10" s="1161">
        <v>0</v>
      </c>
      <c r="BW10" s="412">
        <v>0</v>
      </c>
      <c r="BX10" s="1170">
        <v>2.65</v>
      </c>
      <c r="BY10" s="245">
        <v>66.25</v>
      </c>
      <c r="BZ10" s="412" t="s">
        <v>279</v>
      </c>
      <c r="CA10" s="1162"/>
      <c r="CB10" s="1148">
        <v>76.029567053854279</v>
      </c>
      <c r="CC10" s="1169">
        <v>7.8916666666666663E-2</v>
      </c>
      <c r="CD10" s="1161">
        <v>0.06</v>
      </c>
      <c r="CE10" s="245">
        <v>1.5</v>
      </c>
      <c r="CF10" s="245">
        <v>2.71</v>
      </c>
      <c r="CG10" s="245">
        <v>67.75</v>
      </c>
      <c r="CH10" s="412" t="s">
        <v>279</v>
      </c>
      <c r="CI10" s="1162"/>
      <c r="CJ10" s="1148">
        <v>104.54065469904963</v>
      </c>
      <c r="CK10" s="1161">
        <v>0.10522222222222222</v>
      </c>
      <c r="CL10" s="1161">
        <v>0.11</v>
      </c>
      <c r="CM10" s="245">
        <v>2.75</v>
      </c>
      <c r="CN10" s="245">
        <v>2.82</v>
      </c>
      <c r="CO10" s="245">
        <v>70.5</v>
      </c>
      <c r="CP10" s="412" t="s">
        <v>279</v>
      </c>
      <c r="CQ10" s="1162"/>
      <c r="CR10" s="1148">
        <v>64.36007992428226</v>
      </c>
      <c r="CS10" s="245">
        <v>0.26413888888888887</v>
      </c>
      <c r="CT10" s="245">
        <v>0.16999999999999998</v>
      </c>
      <c r="CU10" s="245">
        <v>4.25</v>
      </c>
      <c r="CV10" s="245">
        <v>2.82</v>
      </c>
      <c r="CW10" s="245">
        <v>70.5</v>
      </c>
      <c r="CX10" s="412" t="s">
        <v>279</v>
      </c>
      <c r="CY10" s="1162"/>
      <c r="CZ10" s="1148">
        <v>0</v>
      </c>
      <c r="DA10" s="245"/>
      <c r="DB10" s="245">
        <v>0.42</v>
      </c>
      <c r="DC10" s="245">
        <v>10.5</v>
      </c>
      <c r="DD10" s="245">
        <v>2.82</v>
      </c>
      <c r="DE10" s="245">
        <v>70.5</v>
      </c>
      <c r="DF10" s="412" t="s">
        <v>279</v>
      </c>
      <c r="DG10" s="1162"/>
      <c r="DH10" s="1148">
        <v>109.76768743400211</v>
      </c>
      <c r="DI10" s="1161">
        <v>0.10522222222222222</v>
      </c>
      <c r="DJ10" s="1161">
        <v>0.11550000000000001</v>
      </c>
      <c r="DK10" s="245">
        <v>2.8875000000000002</v>
      </c>
      <c r="DL10" s="245">
        <v>2.9354999999999998</v>
      </c>
      <c r="DM10" s="245">
        <v>73.387499999999989</v>
      </c>
      <c r="DN10" s="412" t="s">
        <v>279</v>
      </c>
      <c r="DO10" s="1162"/>
      <c r="DP10" s="1148">
        <v>0</v>
      </c>
      <c r="DQ10" s="1161">
        <v>0.10522222222222222</v>
      </c>
      <c r="DR10" s="1161"/>
      <c r="DS10" s="245">
        <v>0</v>
      </c>
      <c r="DT10" s="245">
        <v>2.9354999999999998</v>
      </c>
      <c r="DU10" s="245">
        <v>73.387499999999989</v>
      </c>
      <c r="DV10" s="412" t="s">
        <v>279</v>
      </c>
      <c r="DW10" s="1162"/>
      <c r="DX10" s="1148">
        <v>0</v>
      </c>
      <c r="DY10" s="1161">
        <v>0.10522222222222222</v>
      </c>
      <c r="DZ10" s="1161"/>
      <c r="EA10" s="245">
        <v>0</v>
      </c>
      <c r="EB10" s="245">
        <v>2.9354999999999998</v>
      </c>
      <c r="EC10" s="295">
        <v>73.387499999999989</v>
      </c>
      <c r="ED10" s="1171" t="s">
        <v>279</v>
      </c>
      <c r="EE10" s="323"/>
      <c r="EF10" s="1148">
        <v>36.589229144667371</v>
      </c>
      <c r="EG10" s="245">
        <v>0.31566666666666665</v>
      </c>
      <c r="EH10" s="245">
        <v>0.11550000000000001</v>
      </c>
      <c r="EI10" s="252">
        <v>2.8875000000000002</v>
      </c>
      <c r="EJ10" s="245">
        <v>2.9354999999999998</v>
      </c>
      <c r="EK10" s="295">
        <v>73.387499999999989</v>
      </c>
      <c r="EL10" s="246" t="s">
        <v>279</v>
      </c>
      <c r="EM10" s="323"/>
      <c r="EN10" s="1148">
        <v>49.240645810377046</v>
      </c>
      <c r="EO10" s="245">
        <v>0.57980555555555546</v>
      </c>
      <c r="EP10" s="245">
        <v>0.28549999999999998</v>
      </c>
      <c r="EQ10" s="252">
        <v>7.1374999999999993</v>
      </c>
      <c r="ER10" s="245">
        <v>2.9354999999999998</v>
      </c>
      <c r="ES10" s="295">
        <v>73.387499999999989</v>
      </c>
      <c r="ET10" s="246" t="s">
        <v>279</v>
      </c>
      <c r="EU10" s="323"/>
      <c r="EV10" s="1148">
        <v>92.358549322090752</v>
      </c>
      <c r="EW10" s="245">
        <v>0.57980555555555546</v>
      </c>
      <c r="EX10" s="245">
        <v>0.53549999999999998</v>
      </c>
      <c r="EY10" s="252">
        <v>13.387499999999999</v>
      </c>
      <c r="EZ10" s="245">
        <v>2.9354999999999998</v>
      </c>
      <c r="FA10" s="295">
        <v>73.387499999999989</v>
      </c>
      <c r="FB10" s="1171" t="s">
        <v>279</v>
      </c>
    </row>
    <row r="11" spans="1:159" s="166" customFormat="1" ht="71.25" customHeight="1" thickBot="1">
      <c r="A11" s="1743"/>
      <c r="B11" s="1743"/>
      <c r="C11" s="1746"/>
      <c r="D11" s="923" t="s">
        <v>844</v>
      </c>
      <c r="E11" s="886" t="s">
        <v>787</v>
      </c>
      <c r="F11" s="873">
        <v>1</v>
      </c>
      <c r="G11" s="874">
        <v>25</v>
      </c>
      <c r="H11" s="935"/>
      <c r="I11" s="469">
        <v>0.5</v>
      </c>
      <c r="J11" s="252">
        <v>6.9000000000000006E-2</v>
      </c>
      <c r="K11" s="694">
        <v>6.9</v>
      </c>
      <c r="L11" s="936"/>
      <c r="M11" s="294">
        <v>0.5</v>
      </c>
      <c r="N11" s="694">
        <v>0.93100000000000005</v>
      </c>
      <c r="O11" s="936"/>
      <c r="P11" s="465">
        <v>0</v>
      </c>
      <c r="Q11" s="245">
        <v>0</v>
      </c>
      <c r="R11" s="412">
        <v>0</v>
      </c>
      <c r="S11" s="938"/>
      <c r="T11" s="465">
        <v>0</v>
      </c>
      <c r="U11" s="245">
        <v>0</v>
      </c>
      <c r="V11" s="412">
        <v>0</v>
      </c>
      <c r="W11" s="1159"/>
      <c r="X11" s="465">
        <v>0</v>
      </c>
      <c r="Y11" s="245">
        <v>0</v>
      </c>
      <c r="Z11" s="412">
        <v>0</v>
      </c>
      <c r="AA11" s="1159"/>
      <c r="AB11" s="465">
        <v>0</v>
      </c>
      <c r="AC11" s="245">
        <v>0</v>
      </c>
      <c r="AD11" s="245">
        <v>0</v>
      </c>
      <c r="AE11" s="1159"/>
      <c r="AF11" s="1148">
        <v>128.89366272824921</v>
      </c>
      <c r="AG11" s="1169">
        <v>7.7583333333333337E-2</v>
      </c>
      <c r="AH11" s="1169">
        <v>0.1</v>
      </c>
      <c r="AI11" s="245">
        <v>2.5</v>
      </c>
      <c r="AJ11" s="245">
        <v>0.1</v>
      </c>
      <c r="AK11" s="245">
        <v>2.5</v>
      </c>
      <c r="AL11" s="412" t="s">
        <v>279</v>
      </c>
      <c r="AM11" s="1162"/>
      <c r="AN11" s="1148">
        <v>128.89366272824921</v>
      </c>
      <c r="AO11" s="1169">
        <v>7.7583333333333337E-2</v>
      </c>
      <c r="AP11" s="1169">
        <v>0.1</v>
      </c>
      <c r="AQ11" s="245">
        <v>2.5</v>
      </c>
      <c r="AR11" s="245">
        <v>2.6</v>
      </c>
      <c r="AS11" s="245">
        <v>65</v>
      </c>
      <c r="AT11" s="412" t="s">
        <v>279</v>
      </c>
      <c r="AU11" s="1162"/>
      <c r="AV11" s="1148">
        <v>64.446831364124606</v>
      </c>
      <c r="AW11" s="1161">
        <v>7.7583333333333337E-2</v>
      </c>
      <c r="AX11" s="1161">
        <v>0.05</v>
      </c>
      <c r="AY11" s="412">
        <v>1.25</v>
      </c>
      <c r="AZ11" s="1170">
        <v>2.65</v>
      </c>
      <c r="BA11" s="245">
        <v>66.25</v>
      </c>
      <c r="BB11" s="412" t="s">
        <v>279</v>
      </c>
      <c r="BC11" s="1162"/>
      <c r="BD11" s="1148">
        <v>107.41138560687433</v>
      </c>
      <c r="BE11" s="245">
        <v>0.23275000000000001</v>
      </c>
      <c r="BF11" s="245">
        <v>0.25</v>
      </c>
      <c r="BG11" s="245">
        <v>6.25</v>
      </c>
      <c r="BH11" s="245">
        <v>2.65</v>
      </c>
      <c r="BI11" s="245">
        <v>66.25</v>
      </c>
      <c r="BJ11" s="412" t="s">
        <v>279</v>
      </c>
      <c r="BK11" s="1162"/>
      <c r="BL11" s="1148">
        <v>0</v>
      </c>
      <c r="BM11" s="245"/>
      <c r="BN11" s="245">
        <v>0.25</v>
      </c>
      <c r="BO11" s="245">
        <v>6.25</v>
      </c>
      <c r="BP11" s="245">
        <v>2.65</v>
      </c>
      <c r="BQ11" s="245">
        <v>66.25</v>
      </c>
      <c r="BR11" s="412" t="s">
        <v>279</v>
      </c>
      <c r="BS11" s="1162"/>
      <c r="BT11" s="1148">
        <v>0</v>
      </c>
      <c r="BU11" s="1161">
        <v>0.08</v>
      </c>
      <c r="BV11" s="1161">
        <v>0</v>
      </c>
      <c r="BW11" s="412">
        <v>0</v>
      </c>
      <c r="BX11" s="1170">
        <v>2.65</v>
      </c>
      <c r="BY11" s="245">
        <v>66.25</v>
      </c>
      <c r="BZ11" s="412" t="s">
        <v>279</v>
      </c>
      <c r="CA11" s="1162"/>
      <c r="CB11" s="1148">
        <v>77.336197636949507</v>
      </c>
      <c r="CC11" s="1169">
        <v>7.7583333333333337E-2</v>
      </c>
      <c r="CD11" s="1161">
        <v>0.06</v>
      </c>
      <c r="CE11" s="245">
        <v>1.5</v>
      </c>
      <c r="CF11" s="245">
        <v>2.71</v>
      </c>
      <c r="CG11" s="245">
        <v>67.75</v>
      </c>
      <c r="CH11" s="412" t="s">
        <v>279</v>
      </c>
      <c r="CI11" s="1162"/>
      <c r="CJ11" s="1148">
        <v>96.670247046186901</v>
      </c>
      <c r="CK11" s="1161">
        <v>0.10344444444444445</v>
      </c>
      <c r="CL11" s="1161">
        <v>0.1</v>
      </c>
      <c r="CM11" s="245">
        <v>2.5</v>
      </c>
      <c r="CN11" s="245">
        <v>2.81</v>
      </c>
      <c r="CO11" s="245">
        <v>70.25</v>
      </c>
      <c r="CP11" s="412" t="s">
        <v>279</v>
      </c>
      <c r="CQ11" s="1162"/>
      <c r="CR11" s="1148">
        <v>61.296158348409058</v>
      </c>
      <c r="CS11" s="245">
        <v>0.2610277777777778</v>
      </c>
      <c r="CT11" s="245">
        <v>0.16</v>
      </c>
      <c r="CU11" s="245">
        <v>4</v>
      </c>
      <c r="CV11" s="245">
        <v>2.81</v>
      </c>
      <c r="CW11" s="245">
        <v>70.25</v>
      </c>
      <c r="CX11" s="412" t="s">
        <v>279</v>
      </c>
      <c r="CY11" s="1162"/>
      <c r="CZ11" s="1148">
        <v>0</v>
      </c>
      <c r="DA11" s="245"/>
      <c r="DB11" s="245">
        <v>0.41000000000000003</v>
      </c>
      <c r="DC11" s="245">
        <v>10.25</v>
      </c>
      <c r="DD11" s="254">
        <v>2.81</v>
      </c>
      <c r="DE11" s="254">
        <v>70.25</v>
      </c>
      <c r="DF11" s="412" t="s">
        <v>279</v>
      </c>
      <c r="DG11" s="1162"/>
      <c r="DH11" s="1148">
        <v>101.50375939849626</v>
      </c>
      <c r="DI11" s="1161">
        <v>0.10344444444444445</v>
      </c>
      <c r="DJ11" s="1161">
        <v>0.10500000000000001</v>
      </c>
      <c r="DK11" s="245">
        <v>2.6250000000000004</v>
      </c>
      <c r="DL11" s="245">
        <v>2.915</v>
      </c>
      <c r="DM11" s="245">
        <v>72.875</v>
      </c>
      <c r="DN11" s="412" t="s">
        <v>279</v>
      </c>
      <c r="DO11" s="1162"/>
      <c r="DP11" s="1148">
        <v>0</v>
      </c>
      <c r="DQ11" s="1161">
        <v>0.10344444444444445</v>
      </c>
      <c r="DR11" s="1161"/>
      <c r="DS11" s="245">
        <v>0</v>
      </c>
      <c r="DT11" s="245">
        <v>2.915</v>
      </c>
      <c r="DU11" s="245">
        <v>72.875</v>
      </c>
      <c r="DV11" s="412" t="s">
        <v>279</v>
      </c>
      <c r="DW11" s="1162"/>
      <c r="DX11" s="1148">
        <v>0</v>
      </c>
      <c r="DY11" s="1161">
        <v>0.10344444444444445</v>
      </c>
      <c r="DZ11" s="1161"/>
      <c r="EA11" s="245">
        <v>0</v>
      </c>
      <c r="EB11" s="245">
        <v>2.915</v>
      </c>
      <c r="EC11" s="295">
        <v>72.875</v>
      </c>
      <c r="ED11" s="1171" t="s">
        <v>279</v>
      </c>
      <c r="EE11" s="323"/>
      <c r="EF11" s="1148">
        <v>33.834586466165419</v>
      </c>
      <c r="EG11" s="245">
        <v>0.31033333333333335</v>
      </c>
      <c r="EH11" s="245">
        <v>0.10500000000000001</v>
      </c>
      <c r="EI11" s="252">
        <v>2.6250000000000004</v>
      </c>
      <c r="EJ11" s="245">
        <v>2.915</v>
      </c>
      <c r="EK11" s="295">
        <v>72.875</v>
      </c>
      <c r="EL11" s="246" t="s">
        <v>279</v>
      </c>
      <c r="EM11" s="323"/>
      <c r="EN11" s="1148">
        <v>46.380475472798864</v>
      </c>
      <c r="EO11" s="245">
        <v>0.57136111111111121</v>
      </c>
      <c r="EP11" s="245">
        <v>0.26500000000000001</v>
      </c>
      <c r="EQ11" s="252">
        <v>6.625</v>
      </c>
      <c r="ER11" s="245">
        <v>2.915</v>
      </c>
      <c r="ES11" s="295">
        <v>72.875</v>
      </c>
      <c r="ET11" s="246" t="s">
        <v>279</v>
      </c>
      <c r="EU11" s="323"/>
      <c r="EV11" s="1148">
        <v>90.135641013175146</v>
      </c>
      <c r="EW11" s="245">
        <v>0.57136111111111121</v>
      </c>
      <c r="EX11" s="245">
        <v>0.51500000000000001</v>
      </c>
      <c r="EY11" s="252">
        <v>12.875</v>
      </c>
      <c r="EZ11" s="245">
        <v>2.915</v>
      </c>
      <c r="FA11" s="295">
        <v>72.875</v>
      </c>
      <c r="FB11" s="1171" t="s">
        <v>279</v>
      </c>
    </row>
    <row r="12" spans="1:159" s="166" customFormat="1" ht="30" customHeight="1">
      <c r="A12" s="1743"/>
      <c r="B12" s="1743"/>
      <c r="C12" s="1746"/>
      <c r="D12" s="923" t="s">
        <v>850</v>
      </c>
      <c r="E12" s="886" t="s">
        <v>788</v>
      </c>
      <c r="F12" s="873">
        <v>1</v>
      </c>
      <c r="G12" s="874">
        <v>25</v>
      </c>
      <c r="H12" s="935"/>
      <c r="I12" s="469">
        <v>0.5</v>
      </c>
      <c r="J12" s="252">
        <v>0.04</v>
      </c>
      <c r="K12" s="694">
        <v>4</v>
      </c>
      <c r="L12" s="936"/>
      <c r="M12" s="294">
        <v>0.5</v>
      </c>
      <c r="N12" s="694">
        <v>0.96</v>
      </c>
      <c r="O12" s="936"/>
      <c r="P12" s="465">
        <v>0</v>
      </c>
      <c r="Q12" s="245">
        <v>0</v>
      </c>
      <c r="R12" s="412">
        <v>0</v>
      </c>
      <c r="S12" s="938"/>
      <c r="T12" s="465">
        <v>0</v>
      </c>
      <c r="U12" s="245">
        <v>0</v>
      </c>
      <c r="V12" s="412">
        <v>0</v>
      </c>
      <c r="W12" s="1159"/>
      <c r="X12" s="465">
        <v>10</v>
      </c>
      <c r="Y12" s="245">
        <v>9.6000000000000002E-2</v>
      </c>
      <c r="Z12" s="412">
        <v>2.4</v>
      </c>
      <c r="AA12" s="1159"/>
      <c r="AB12" s="465">
        <v>10</v>
      </c>
      <c r="AC12" s="245">
        <v>9.6000000000000002E-2</v>
      </c>
      <c r="AD12" s="245">
        <v>2.4</v>
      </c>
      <c r="AE12" s="1159"/>
      <c r="AF12" s="1148">
        <v>250</v>
      </c>
      <c r="AG12" s="1169">
        <v>0.08</v>
      </c>
      <c r="AH12" s="1169">
        <v>0.2</v>
      </c>
      <c r="AI12" s="245">
        <v>5</v>
      </c>
      <c r="AJ12" s="245">
        <v>0.29600000000000004</v>
      </c>
      <c r="AK12" s="245">
        <v>7.4000000000000012</v>
      </c>
      <c r="AL12" s="412" t="s">
        <v>279</v>
      </c>
      <c r="AM12" s="1162"/>
      <c r="AN12" s="1148">
        <v>125</v>
      </c>
      <c r="AO12" s="1169">
        <v>0.08</v>
      </c>
      <c r="AP12" s="1169">
        <v>0.1</v>
      </c>
      <c r="AQ12" s="245">
        <v>2.5</v>
      </c>
      <c r="AR12" s="245">
        <v>7.5000000000000009</v>
      </c>
      <c r="AS12" s="245">
        <v>187.50000000000003</v>
      </c>
      <c r="AT12" s="412" t="s">
        <v>279</v>
      </c>
      <c r="AU12" s="1162"/>
      <c r="AV12" s="1148">
        <v>62.5</v>
      </c>
      <c r="AW12" s="1161">
        <v>0.08</v>
      </c>
      <c r="AX12" s="1161">
        <v>0.05</v>
      </c>
      <c r="AY12" s="412">
        <v>1.25</v>
      </c>
      <c r="AZ12" s="1170">
        <v>7.5500000000000007</v>
      </c>
      <c r="BA12" s="245">
        <v>188.75000000000003</v>
      </c>
      <c r="BB12" s="412" t="s">
        <v>279</v>
      </c>
      <c r="BC12" s="1162"/>
      <c r="BD12" s="1148">
        <v>145.83333333333334</v>
      </c>
      <c r="BE12" s="245">
        <v>0.24</v>
      </c>
      <c r="BF12" s="245">
        <v>0.35000000000000003</v>
      </c>
      <c r="BG12" s="245">
        <v>8.75</v>
      </c>
      <c r="BH12" s="245">
        <v>7.5500000000000007</v>
      </c>
      <c r="BI12" s="245">
        <v>188.75000000000003</v>
      </c>
      <c r="BJ12" s="412" t="s">
        <v>279</v>
      </c>
      <c r="BK12" s="1162"/>
      <c r="BL12" s="1148">
        <v>0</v>
      </c>
      <c r="BM12" s="245"/>
      <c r="BN12" s="245">
        <v>0.44600000000000006</v>
      </c>
      <c r="BO12" s="245">
        <v>11.150000000000002</v>
      </c>
      <c r="BP12" s="245">
        <v>7.5500000000000007</v>
      </c>
      <c r="BQ12" s="245">
        <v>188.75000000000003</v>
      </c>
      <c r="BR12" s="412" t="s">
        <v>279</v>
      </c>
      <c r="BS12" s="1162"/>
      <c r="BT12" s="1148">
        <v>0</v>
      </c>
      <c r="BU12" s="1172">
        <v>0.08</v>
      </c>
      <c r="BV12" s="1161">
        <v>0</v>
      </c>
      <c r="BW12" s="412">
        <v>0</v>
      </c>
      <c r="BX12" s="1170">
        <v>7.5500000000000007</v>
      </c>
      <c r="BY12" s="245">
        <v>188.75000000000003</v>
      </c>
      <c r="BZ12" s="412" t="s">
        <v>279</v>
      </c>
      <c r="CA12" s="1162"/>
      <c r="CB12" s="1148">
        <v>75</v>
      </c>
      <c r="CC12" s="1169">
        <v>0.08</v>
      </c>
      <c r="CD12" s="1161">
        <v>0.06</v>
      </c>
      <c r="CE12" s="245">
        <v>1.5</v>
      </c>
      <c r="CF12" s="245">
        <v>7.61</v>
      </c>
      <c r="CG12" s="245">
        <v>190.25</v>
      </c>
      <c r="CH12" s="412" t="s">
        <v>279</v>
      </c>
      <c r="CI12" s="1162"/>
      <c r="CJ12" s="1148">
        <v>103.125</v>
      </c>
      <c r="CK12" s="1161">
        <v>0.10666666666666666</v>
      </c>
      <c r="CL12" s="1161">
        <v>0.11</v>
      </c>
      <c r="CM12" s="245">
        <v>2.75</v>
      </c>
      <c r="CN12" s="245">
        <v>7.7200000000000006</v>
      </c>
      <c r="CO12" s="245">
        <v>193.00000000000003</v>
      </c>
      <c r="CP12" s="412" t="s">
        <v>279</v>
      </c>
      <c r="CQ12" s="1162"/>
      <c r="CR12" s="1148">
        <v>63.749999999999993</v>
      </c>
      <c r="CS12" s="245">
        <v>0.26666666666666666</v>
      </c>
      <c r="CT12" s="245">
        <v>0.16999999999999998</v>
      </c>
      <c r="CU12" s="245">
        <v>4.25</v>
      </c>
      <c r="CV12" s="245">
        <v>7.7200000000000006</v>
      </c>
      <c r="CW12" s="245">
        <v>193.00000000000003</v>
      </c>
      <c r="CX12" s="412" t="s">
        <v>279</v>
      </c>
      <c r="CY12" s="1162"/>
      <c r="CZ12" s="1148">
        <v>0</v>
      </c>
      <c r="DA12" s="245"/>
      <c r="DB12" s="245">
        <v>0.6160000000000001</v>
      </c>
      <c r="DC12" s="245">
        <v>15.400000000000002</v>
      </c>
      <c r="DD12" s="243">
        <v>7.7200000000000006</v>
      </c>
      <c r="DE12" s="243">
        <v>193.00000000000003</v>
      </c>
      <c r="DF12" s="412" t="s">
        <v>279</v>
      </c>
      <c r="DG12" s="1162"/>
      <c r="DH12" s="1148">
        <v>108.28125000000001</v>
      </c>
      <c r="DI12" s="1161">
        <v>0.10666666666666666</v>
      </c>
      <c r="DJ12" s="1161">
        <v>0.11550000000000001</v>
      </c>
      <c r="DK12" s="245">
        <v>2.8875000000000002</v>
      </c>
      <c r="DL12" s="245">
        <v>7.8355000000000006</v>
      </c>
      <c r="DM12" s="245">
        <v>195.88750000000002</v>
      </c>
      <c r="DN12" s="412" t="s">
        <v>279</v>
      </c>
      <c r="DO12" s="1162"/>
      <c r="DP12" s="1148">
        <v>0</v>
      </c>
      <c r="DQ12" s="1161">
        <v>0.10666666666666666</v>
      </c>
      <c r="DR12" s="1161"/>
      <c r="DS12" s="245">
        <v>0</v>
      </c>
      <c r="DT12" s="245">
        <v>7.8355000000000006</v>
      </c>
      <c r="DU12" s="245">
        <v>195.88750000000002</v>
      </c>
      <c r="DV12" s="412" t="s">
        <v>279</v>
      </c>
      <c r="DW12" s="1162"/>
      <c r="DX12" s="1148">
        <v>0</v>
      </c>
      <c r="DY12" s="1161">
        <v>0.10666666666666666</v>
      </c>
      <c r="DZ12" s="1161"/>
      <c r="EA12" s="245">
        <v>0</v>
      </c>
      <c r="EB12" s="245">
        <v>7.8355000000000006</v>
      </c>
      <c r="EC12" s="295">
        <v>195.88750000000002</v>
      </c>
      <c r="ED12" s="1171" t="s">
        <v>279</v>
      </c>
      <c r="EE12" s="323"/>
      <c r="EF12" s="1148">
        <v>36.093750000000007</v>
      </c>
      <c r="EG12" s="245">
        <v>0.31999999999999995</v>
      </c>
      <c r="EH12" s="245">
        <v>0.11550000000000001</v>
      </c>
      <c r="EI12" s="252">
        <v>2.8875000000000002</v>
      </c>
      <c r="EJ12" s="245">
        <v>7.8355000000000006</v>
      </c>
      <c r="EK12" s="295">
        <v>195.88750000000002</v>
      </c>
      <c r="EL12" s="246" t="s">
        <v>279</v>
      </c>
      <c r="EM12" s="323"/>
      <c r="EN12" s="1148">
        <v>48.66477272727272</v>
      </c>
      <c r="EO12" s="245">
        <v>0.58666666666666667</v>
      </c>
      <c r="EP12" s="245">
        <v>0.28549999999999998</v>
      </c>
      <c r="EQ12" s="252">
        <v>7.1374999999999993</v>
      </c>
      <c r="ER12" s="245">
        <v>7.8355000000000006</v>
      </c>
      <c r="ES12" s="295">
        <v>195.88750000000002</v>
      </c>
      <c r="ET12" s="246" t="s">
        <v>279</v>
      </c>
      <c r="EU12" s="323"/>
      <c r="EV12" s="1148">
        <v>124.6875</v>
      </c>
      <c r="EW12" s="245">
        <v>0.58666666666666667</v>
      </c>
      <c r="EX12" s="245">
        <v>0.73150000000000004</v>
      </c>
      <c r="EY12" s="252">
        <v>18.287500000000001</v>
      </c>
      <c r="EZ12" s="245">
        <v>7.8355000000000006</v>
      </c>
      <c r="FA12" s="295">
        <v>195.88750000000002</v>
      </c>
      <c r="FB12" s="1171" t="s">
        <v>279</v>
      </c>
    </row>
    <row r="13" spans="1:159" s="166" customFormat="1" ht="30" customHeight="1" thickBot="1">
      <c r="A13" s="1743"/>
      <c r="B13" s="1743"/>
      <c r="C13" s="1746"/>
      <c r="D13" s="195" t="s">
        <v>14</v>
      </c>
      <c r="E13" s="887"/>
      <c r="F13" s="876" t="s">
        <v>4</v>
      </c>
      <c r="G13" s="881">
        <v>100</v>
      </c>
      <c r="H13" s="935"/>
      <c r="I13" s="470"/>
      <c r="J13" s="257"/>
      <c r="K13" s="259">
        <v>19</v>
      </c>
      <c r="L13" s="936"/>
      <c r="M13" s="981"/>
      <c r="N13" s="270"/>
      <c r="O13" s="936"/>
      <c r="P13" s="466"/>
      <c r="Q13" s="490"/>
      <c r="R13" s="854">
        <v>0</v>
      </c>
      <c r="S13" s="938"/>
      <c r="T13" s="466"/>
      <c r="U13" s="490"/>
      <c r="V13" s="854">
        <v>0</v>
      </c>
      <c r="W13" s="1159"/>
      <c r="X13" s="466"/>
      <c r="Y13" s="490" t="s">
        <v>4</v>
      </c>
      <c r="Z13" s="854">
        <v>7.3249999999999993</v>
      </c>
      <c r="AA13" s="1159"/>
      <c r="AB13" s="466"/>
      <c r="AC13" s="490" t="s">
        <v>4</v>
      </c>
      <c r="AD13" s="854">
        <v>7.3249999999999993</v>
      </c>
      <c r="AE13" s="1159"/>
      <c r="AF13" s="1173"/>
      <c r="AG13" s="939"/>
      <c r="AH13" s="939"/>
      <c r="AI13" s="490">
        <v>12.5</v>
      </c>
      <c r="AJ13" s="939"/>
      <c r="AK13" s="490">
        <v>19.825000000000003</v>
      </c>
      <c r="AL13" s="467"/>
      <c r="AM13" s="1162"/>
      <c r="AN13" s="1173"/>
      <c r="AO13" s="1174"/>
      <c r="AP13" s="1174"/>
      <c r="AQ13" s="854">
        <v>10</v>
      </c>
      <c r="AR13" s="939"/>
      <c r="AS13" s="490">
        <v>505.625</v>
      </c>
      <c r="AT13" s="467"/>
      <c r="AU13" s="1162"/>
      <c r="AV13" s="1173"/>
      <c r="AW13" s="1174"/>
      <c r="AX13" s="1174"/>
      <c r="AY13" s="854">
        <v>7.5</v>
      </c>
      <c r="AZ13" s="940"/>
      <c r="BA13" s="490">
        <v>513.125</v>
      </c>
      <c r="BB13" s="467"/>
      <c r="BC13" s="1162"/>
      <c r="BD13" s="1173"/>
      <c r="BE13" s="939"/>
      <c r="BF13" s="939"/>
      <c r="BG13" s="854">
        <v>30</v>
      </c>
      <c r="BH13" s="939"/>
      <c r="BI13" s="490">
        <v>513.125</v>
      </c>
      <c r="BJ13" s="467"/>
      <c r="BK13" s="1162"/>
      <c r="BL13" s="1173"/>
      <c r="BM13" s="939"/>
      <c r="BN13" s="939"/>
      <c r="BO13" s="854">
        <v>37.325000000000003</v>
      </c>
      <c r="BP13" s="939"/>
      <c r="BQ13" s="490">
        <v>513.125</v>
      </c>
      <c r="BR13" s="467"/>
      <c r="BS13" s="1162"/>
      <c r="BT13" s="1173"/>
      <c r="BU13" s="939"/>
      <c r="BV13" s="939"/>
      <c r="BW13" s="854">
        <v>0.25</v>
      </c>
      <c r="BX13" s="940"/>
      <c r="BY13" s="490">
        <v>513.375</v>
      </c>
      <c r="BZ13" s="467"/>
      <c r="CA13" s="1162"/>
      <c r="CB13" s="1173"/>
      <c r="CC13" s="939"/>
      <c r="CD13" s="939"/>
      <c r="CE13" s="854">
        <v>7</v>
      </c>
      <c r="CF13" s="939"/>
      <c r="CG13" s="490">
        <v>520.375</v>
      </c>
      <c r="CH13" s="467"/>
      <c r="CI13" s="1162"/>
      <c r="CJ13" s="1173"/>
      <c r="CK13" s="939"/>
      <c r="CL13" s="939"/>
      <c r="CM13" s="854">
        <v>13.5</v>
      </c>
      <c r="CN13" s="939"/>
      <c r="CO13" s="490">
        <v>533.875</v>
      </c>
      <c r="CP13" s="467"/>
      <c r="CQ13" s="1162"/>
      <c r="CR13" s="1173"/>
      <c r="CS13" s="939"/>
      <c r="CT13" s="939"/>
      <c r="CU13" s="854">
        <v>20.75</v>
      </c>
      <c r="CV13" s="939"/>
      <c r="CW13" s="490">
        <v>533.875</v>
      </c>
      <c r="CX13" s="467"/>
      <c r="CY13" s="1162"/>
      <c r="CZ13" s="1173"/>
      <c r="DA13" s="939"/>
      <c r="DB13" s="939"/>
      <c r="DC13" s="854">
        <v>58.075000000000003</v>
      </c>
      <c r="DD13" s="939"/>
      <c r="DE13" s="490">
        <v>533.875</v>
      </c>
      <c r="DF13" s="467"/>
      <c r="DG13" s="1162"/>
      <c r="DH13" s="1173"/>
      <c r="DI13" s="939"/>
      <c r="DJ13" s="939"/>
      <c r="DK13" s="854">
        <v>14.175000000000001</v>
      </c>
      <c r="DL13" s="939"/>
      <c r="DM13" s="490">
        <v>548.04999999999995</v>
      </c>
      <c r="DN13" s="467"/>
      <c r="DO13" s="1162"/>
      <c r="DP13" s="1173"/>
      <c r="DQ13" s="939"/>
      <c r="DR13" s="939"/>
      <c r="DS13" s="854">
        <v>0</v>
      </c>
      <c r="DT13" s="939"/>
      <c r="DU13" s="490">
        <v>548.04999999999995</v>
      </c>
      <c r="DV13" s="467"/>
      <c r="DW13" s="1162"/>
      <c r="DX13" s="1173"/>
      <c r="DY13" s="939"/>
      <c r="DZ13" s="939"/>
      <c r="EA13" s="854">
        <v>0</v>
      </c>
      <c r="EB13" s="261"/>
      <c r="EC13" s="260">
        <v>548.04999999999995</v>
      </c>
      <c r="ED13" s="471"/>
      <c r="EE13" s="323"/>
      <c r="EF13" s="1173"/>
      <c r="EG13" s="261"/>
      <c r="EH13" s="261"/>
      <c r="EI13" s="259">
        <v>14.175000000000001</v>
      </c>
      <c r="EJ13" s="261"/>
      <c r="EK13" s="260">
        <v>548.04999999999995</v>
      </c>
      <c r="EL13" s="471"/>
      <c r="EM13" s="323"/>
      <c r="EN13" s="1173"/>
      <c r="EO13" s="261"/>
      <c r="EP13" s="261"/>
      <c r="EQ13" s="259">
        <v>34.924999999999997</v>
      </c>
      <c r="ER13" s="261"/>
      <c r="ES13" s="260">
        <v>548.04999999999995</v>
      </c>
      <c r="ET13" s="471"/>
      <c r="EU13" s="323"/>
      <c r="EV13" s="1173"/>
      <c r="EW13" s="261"/>
      <c r="EX13" s="261"/>
      <c r="EY13" s="259">
        <v>72.25</v>
      </c>
      <c r="EZ13" s="261"/>
      <c r="FA13" s="260">
        <v>548.04999999999995</v>
      </c>
      <c r="FB13" s="471"/>
    </row>
    <row r="14" spans="1:159" s="166" customFormat="1" ht="30" customHeight="1">
      <c r="A14" s="1748" t="s">
        <v>33</v>
      </c>
      <c r="B14" s="1748" t="s">
        <v>33</v>
      </c>
      <c r="C14" s="1750" t="s">
        <v>195</v>
      </c>
      <c r="D14" s="191" t="s">
        <v>845</v>
      </c>
      <c r="E14" s="890" t="s">
        <v>789</v>
      </c>
      <c r="F14" s="879">
        <v>1</v>
      </c>
      <c r="G14" s="879">
        <v>20</v>
      </c>
      <c r="H14" s="935"/>
      <c r="I14" s="472">
        <v>0.5</v>
      </c>
      <c r="J14" s="262">
        <v>0.04</v>
      </c>
      <c r="K14" s="695">
        <v>4</v>
      </c>
      <c r="L14" s="936"/>
      <c r="M14" s="289">
        <v>1</v>
      </c>
      <c r="N14" s="693">
        <v>1.46</v>
      </c>
      <c r="O14" s="936"/>
      <c r="P14" s="852">
        <v>0</v>
      </c>
      <c r="Q14" s="243">
        <v>0</v>
      </c>
      <c r="R14" s="412">
        <v>0</v>
      </c>
      <c r="S14" s="938"/>
      <c r="T14" s="852">
        <v>0</v>
      </c>
      <c r="U14" s="245">
        <v>0</v>
      </c>
      <c r="V14" s="412">
        <v>0</v>
      </c>
      <c r="W14" s="1159"/>
      <c r="X14" s="465">
        <v>0</v>
      </c>
      <c r="Y14" s="245">
        <v>0</v>
      </c>
      <c r="Z14" s="412">
        <v>0</v>
      </c>
      <c r="AA14" s="1159"/>
      <c r="AB14" s="465">
        <v>0</v>
      </c>
      <c r="AC14" s="245">
        <v>0</v>
      </c>
      <c r="AD14" s="245">
        <v>0</v>
      </c>
      <c r="AE14" s="1159"/>
      <c r="AF14" s="1148">
        <v>109.58904109589042</v>
      </c>
      <c r="AG14" s="1166">
        <v>0.1825</v>
      </c>
      <c r="AH14" s="1166">
        <v>0.2</v>
      </c>
      <c r="AI14" s="245">
        <v>4</v>
      </c>
      <c r="AJ14" s="243">
        <v>0.2</v>
      </c>
      <c r="AK14" s="243">
        <v>4</v>
      </c>
      <c r="AL14" s="411" t="s">
        <v>279</v>
      </c>
      <c r="AM14" s="1162"/>
      <c r="AN14" s="1148">
        <v>0</v>
      </c>
      <c r="AO14" s="1166">
        <v>0.1825</v>
      </c>
      <c r="AP14" s="1166">
        <v>0</v>
      </c>
      <c r="AQ14" s="245">
        <v>0</v>
      </c>
      <c r="AR14" s="243">
        <v>4</v>
      </c>
      <c r="AS14" s="243">
        <v>80</v>
      </c>
      <c r="AT14" s="411" t="s">
        <v>279</v>
      </c>
      <c r="AU14" s="1162"/>
      <c r="AV14" s="1148">
        <v>54.794520547945211</v>
      </c>
      <c r="AW14" s="1161">
        <v>0.1825</v>
      </c>
      <c r="AX14" s="1161">
        <v>0.1</v>
      </c>
      <c r="AY14" s="412">
        <v>2</v>
      </c>
      <c r="AZ14" s="1170">
        <v>4.0999999999999996</v>
      </c>
      <c r="BA14" s="243">
        <v>82</v>
      </c>
      <c r="BB14" s="411" t="s">
        <v>279</v>
      </c>
      <c r="BC14" s="1162"/>
      <c r="BD14" s="1148">
        <v>54.794520547945211</v>
      </c>
      <c r="BE14" s="245">
        <v>0.54749999999999999</v>
      </c>
      <c r="BF14" s="245">
        <v>0.30000000000000004</v>
      </c>
      <c r="BG14" s="245">
        <v>6.0000000000000009</v>
      </c>
      <c r="BH14" s="245">
        <v>4.0999999999999996</v>
      </c>
      <c r="BI14" s="245">
        <v>82</v>
      </c>
      <c r="BJ14" s="412" t="s">
        <v>279</v>
      </c>
      <c r="BK14" s="1162"/>
      <c r="BL14" s="1148">
        <v>0</v>
      </c>
      <c r="BM14" s="245"/>
      <c r="BN14" s="245">
        <v>0.30000000000000004</v>
      </c>
      <c r="BO14" s="245">
        <v>6.0000000000000009</v>
      </c>
      <c r="BP14" s="245">
        <v>4.0999999999999996</v>
      </c>
      <c r="BQ14" s="245">
        <v>82</v>
      </c>
      <c r="BR14" s="411" t="s">
        <v>279</v>
      </c>
      <c r="BS14" s="1162"/>
      <c r="BT14" s="1148">
        <v>0</v>
      </c>
      <c r="BU14" s="1161">
        <v>0.18</v>
      </c>
      <c r="BV14" s="1161">
        <v>0</v>
      </c>
      <c r="BW14" s="412">
        <v>0</v>
      </c>
      <c r="BX14" s="1170">
        <v>4.0999999999999996</v>
      </c>
      <c r="BY14" s="243">
        <v>82</v>
      </c>
      <c r="BZ14" s="411" t="s">
        <v>279</v>
      </c>
      <c r="CA14" s="1162"/>
      <c r="CB14" s="1148">
        <v>57.534246575342472</v>
      </c>
      <c r="CC14" s="1166">
        <v>0.12166666666666666</v>
      </c>
      <c r="CD14" s="1161">
        <v>7.0000000000000007E-2</v>
      </c>
      <c r="CE14" s="245">
        <v>1.4000000000000001</v>
      </c>
      <c r="CF14" s="245">
        <v>4.17</v>
      </c>
      <c r="CG14" s="243">
        <v>83.4</v>
      </c>
      <c r="CH14" s="411" t="s">
        <v>279</v>
      </c>
      <c r="CI14" s="1162"/>
      <c r="CJ14" s="1148">
        <v>98.63013698630138</v>
      </c>
      <c r="CK14" s="1161">
        <v>0.16222222222222221</v>
      </c>
      <c r="CL14" s="1161">
        <v>0.16</v>
      </c>
      <c r="CM14" s="245">
        <v>3.2</v>
      </c>
      <c r="CN14" s="245">
        <v>4.33</v>
      </c>
      <c r="CO14" s="243">
        <v>86.6</v>
      </c>
      <c r="CP14" s="411" t="s">
        <v>279</v>
      </c>
      <c r="CQ14" s="1162"/>
      <c r="CR14" s="1148">
        <v>49.580838323353298</v>
      </c>
      <c r="CS14" s="245">
        <v>0.46388888888888885</v>
      </c>
      <c r="CT14" s="245">
        <v>0.23</v>
      </c>
      <c r="CU14" s="245">
        <v>4.6000000000000005</v>
      </c>
      <c r="CV14" s="245">
        <v>4.33</v>
      </c>
      <c r="CW14" s="245">
        <v>86.6</v>
      </c>
      <c r="CX14" s="412" t="s">
        <v>279</v>
      </c>
      <c r="CY14" s="1162"/>
      <c r="CZ14" s="1148">
        <v>0</v>
      </c>
      <c r="DA14" s="245"/>
      <c r="DB14" s="245">
        <v>0.53</v>
      </c>
      <c r="DC14" s="245">
        <v>10.600000000000001</v>
      </c>
      <c r="DD14" s="245">
        <v>4.33</v>
      </c>
      <c r="DE14" s="245">
        <v>86.6</v>
      </c>
      <c r="DF14" s="411" t="s">
        <v>279</v>
      </c>
      <c r="DG14" s="1162"/>
      <c r="DH14" s="1148">
        <v>103.56164383561645</v>
      </c>
      <c r="DI14" s="1161">
        <v>0.16222222222222221</v>
      </c>
      <c r="DJ14" s="1161">
        <v>0.16800000000000001</v>
      </c>
      <c r="DK14" s="245">
        <v>3.3600000000000003</v>
      </c>
      <c r="DL14" s="245">
        <v>4.4980000000000002</v>
      </c>
      <c r="DM14" s="243">
        <v>89.960000000000008</v>
      </c>
      <c r="DN14" s="411" t="s">
        <v>279</v>
      </c>
      <c r="DO14" s="1162"/>
      <c r="DP14" s="1148">
        <v>0</v>
      </c>
      <c r="DQ14" s="1161">
        <v>0.16222222222222221</v>
      </c>
      <c r="DR14" s="1161"/>
      <c r="DS14" s="245">
        <v>0</v>
      </c>
      <c r="DT14" s="245">
        <v>4.4980000000000002</v>
      </c>
      <c r="DU14" s="243">
        <v>89.960000000000008</v>
      </c>
      <c r="DV14" s="411" t="s">
        <v>279</v>
      </c>
      <c r="DW14" s="1162"/>
      <c r="DX14" s="1148">
        <v>0</v>
      </c>
      <c r="DY14" s="1161">
        <v>0.16222222222222221</v>
      </c>
      <c r="DZ14" s="1161"/>
      <c r="EA14" s="245">
        <v>0</v>
      </c>
      <c r="EB14" s="245">
        <v>4.4980000000000002</v>
      </c>
      <c r="EC14" s="290">
        <v>89.960000000000008</v>
      </c>
      <c r="ED14" s="1168" t="s">
        <v>279</v>
      </c>
      <c r="EE14" s="323"/>
      <c r="EF14" s="1148">
        <v>34.520547945205479</v>
      </c>
      <c r="EG14" s="245">
        <v>0.48666666666666664</v>
      </c>
      <c r="EH14" s="245">
        <v>0.16800000000000001</v>
      </c>
      <c r="EI14" s="252">
        <v>3.3600000000000003</v>
      </c>
      <c r="EJ14" s="245">
        <v>4.4980000000000002</v>
      </c>
      <c r="EK14" s="295">
        <v>89.960000000000008</v>
      </c>
      <c r="EL14" s="246" t="s">
        <v>279</v>
      </c>
      <c r="EM14" s="323"/>
      <c r="EN14" s="1148">
        <v>41.870251315020461</v>
      </c>
      <c r="EO14" s="245">
        <v>0.95055555555555549</v>
      </c>
      <c r="EP14" s="245">
        <v>0.39800000000000002</v>
      </c>
      <c r="EQ14" s="252">
        <v>7.9600000000000009</v>
      </c>
      <c r="ER14" s="245">
        <v>4.4980000000000002</v>
      </c>
      <c r="ES14" s="295">
        <v>89.960000000000008</v>
      </c>
      <c r="ET14" s="246" t="s">
        <v>279</v>
      </c>
      <c r="EU14" s="323"/>
      <c r="EV14" s="1148">
        <v>73.430742255990666</v>
      </c>
      <c r="EW14" s="245">
        <v>0.95055555555555549</v>
      </c>
      <c r="EX14" s="245">
        <v>0.69800000000000006</v>
      </c>
      <c r="EY14" s="252">
        <v>13.96</v>
      </c>
      <c r="EZ14" s="245">
        <v>4.4980000000000002</v>
      </c>
      <c r="FA14" s="295">
        <v>89.960000000000008</v>
      </c>
      <c r="FB14" s="1168" t="s">
        <v>279</v>
      </c>
    </row>
    <row r="15" spans="1:159" s="166" customFormat="1" ht="45.75" customHeight="1">
      <c r="A15" s="1733"/>
      <c r="B15" s="1733"/>
      <c r="C15" s="1737"/>
      <c r="D15" s="191" t="s">
        <v>846</v>
      </c>
      <c r="E15" s="886" t="s">
        <v>790</v>
      </c>
      <c r="F15" s="873">
        <v>8</v>
      </c>
      <c r="G15" s="874">
        <v>15</v>
      </c>
      <c r="H15" s="935"/>
      <c r="I15" s="469">
        <v>0.5</v>
      </c>
      <c r="J15" s="252">
        <v>0.4</v>
      </c>
      <c r="K15" s="694">
        <v>5</v>
      </c>
      <c r="L15" s="936"/>
      <c r="M15" s="294">
        <v>2</v>
      </c>
      <c r="N15" s="694">
        <v>2.1</v>
      </c>
      <c r="O15" s="936"/>
      <c r="P15" s="465">
        <v>0</v>
      </c>
      <c r="Q15" s="245">
        <v>0</v>
      </c>
      <c r="R15" s="412">
        <v>0</v>
      </c>
      <c r="S15" s="938"/>
      <c r="T15" s="465">
        <v>0</v>
      </c>
      <c r="U15" s="245">
        <v>0</v>
      </c>
      <c r="V15" s="412">
        <v>0</v>
      </c>
      <c r="W15" s="1159"/>
      <c r="X15" s="465">
        <v>0</v>
      </c>
      <c r="Y15" s="245">
        <v>0</v>
      </c>
      <c r="Z15" s="412">
        <v>0</v>
      </c>
      <c r="AA15" s="1159"/>
      <c r="AB15" s="465">
        <v>0</v>
      </c>
      <c r="AC15" s="245">
        <v>0</v>
      </c>
      <c r="AD15" s="245">
        <v>0</v>
      </c>
      <c r="AE15" s="1159"/>
      <c r="AF15" s="1148">
        <v>0</v>
      </c>
      <c r="AG15" s="1175">
        <v>0.17500000000000002</v>
      </c>
      <c r="AH15" s="1169">
        <v>0</v>
      </c>
      <c r="AI15" s="245">
        <v>0</v>
      </c>
      <c r="AJ15" s="245">
        <v>0</v>
      </c>
      <c r="AK15" s="245">
        <v>0</v>
      </c>
      <c r="AL15" s="412" t="s">
        <v>279</v>
      </c>
      <c r="AM15" s="1162"/>
      <c r="AN15" s="1148">
        <v>0</v>
      </c>
      <c r="AO15" s="1175">
        <v>0.17500000000000002</v>
      </c>
      <c r="AP15" s="1169">
        <v>0</v>
      </c>
      <c r="AQ15" s="245">
        <v>0</v>
      </c>
      <c r="AR15" s="245">
        <v>0</v>
      </c>
      <c r="AS15" s="245">
        <v>0</v>
      </c>
      <c r="AT15" s="412" t="s">
        <v>279</v>
      </c>
      <c r="AU15" s="1162"/>
      <c r="AV15" s="1148">
        <v>0</v>
      </c>
      <c r="AW15" s="1175">
        <v>0.17500000000000002</v>
      </c>
      <c r="AX15" s="1161">
        <v>0</v>
      </c>
      <c r="AY15" s="412">
        <v>0</v>
      </c>
      <c r="AZ15" s="1170">
        <v>0</v>
      </c>
      <c r="BA15" s="245">
        <v>0</v>
      </c>
      <c r="BB15" s="412" t="s">
        <v>279</v>
      </c>
      <c r="BC15" s="1162"/>
      <c r="BD15" s="1148">
        <v>0</v>
      </c>
      <c r="BE15" s="245">
        <v>0.52500000000000002</v>
      </c>
      <c r="BF15" s="245">
        <v>0</v>
      </c>
      <c r="BG15" s="245">
        <v>0</v>
      </c>
      <c r="BH15" s="245">
        <v>0</v>
      </c>
      <c r="BI15" s="245">
        <v>0</v>
      </c>
      <c r="BJ15" s="412" t="s">
        <v>279</v>
      </c>
      <c r="BK15" s="1162"/>
      <c r="BL15" s="1148">
        <v>0</v>
      </c>
      <c r="BM15" s="245"/>
      <c r="BN15" s="245">
        <v>0</v>
      </c>
      <c r="BO15" s="245">
        <v>0</v>
      </c>
      <c r="BP15" s="245">
        <v>0</v>
      </c>
      <c r="BQ15" s="245">
        <v>0</v>
      </c>
      <c r="BR15" s="412" t="s">
        <v>279</v>
      </c>
      <c r="BS15" s="1162"/>
      <c r="BT15" s="1148">
        <v>0</v>
      </c>
      <c r="BU15" s="1175">
        <v>0.17500000000000002</v>
      </c>
      <c r="BV15" s="1161">
        <v>0</v>
      </c>
      <c r="BW15" s="412">
        <v>0</v>
      </c>
      <c r="BX15" s="1170">
        <v>0</v>
      </c>
      <c r="BY15" s="245">
        <v>0</v>
      </c>
      <c r="BZ15" s="412" t="s">
        <v>279</v>
      </c>
      <c r="CA15" s="1162"/>
      <c r="CB15" s="1148">
        <v>0</v>
      </c>
      <c r="CC15" s="1175">
        <v>0.17500000000000002</v>
      </c>
      <c r="CD15" s="1161">
        <v>0</v>
      </c>
      <c r="CE15" s="245">
        <v>0</v>
      </c>
      <c r="CF15" s="245">
        <v>0</v>
      </c>
      <c r="CG15" s="245">
        <v>0</v>
      </c>
      <c r="CH15" s="412" t="s">
        <v>279</v>
      </c>
      <c r="CI15" s="1162"/>
      <c r="CJ15" s="1148">
        <v>0</v>
      </c>
      <c r="CK15" s="1161">
        <v>0.23333333333333334</v>
      </c>
      <c r="CL15" s="1161">
        <v>0</v>
      </c>
      <c r="CM15" s="245">
        <v>0</v>
      </c>
      <c r="CN15" s="245">
        <v>0</v>
      </c>
      <c r="CO15" s="245">
        <v>0</v>
      </c>
      <c r="CP15" s="412" t="s">
        <v>279</v>
      </c>
      <c r="CQ15" s="1162"/>
      <c r="CR15" s="1148">
        <v>0</v>
      </c>
      <c r="CS15" s="245">
        <v>0.58333333333333337</v>
      </c>
      <c r="CT15" s="245">
        <v>0</v>
      </c>
      <c r="CU15" s="245">
        <v>0</v>
      </c>
      <c r="CV15" s="245">
        <v>0</v>
      </c>
      <c r="CW15" s="245">
        <v>0</v>
      </c>
      <c r="CX15" s="412" t="s">
        <v>279</v>
      </c>
      <c r="CY15" s="1162"/>
      <c r="CZ15" s="1148">
        <v>0</v>
      </c>
      <c r="DA15" s="245"/>
      <c r="DB15" s="245">
        <v>0</v>
      </c>
      <c r="DC15" s="245">
        <v>0</v>
      </c>
      <c r="DD15" s="245">
        <v>0</v>
      </c>
      <c r="DE15" s="245">
        <v>0</v>
      </c>
      <c r="DF15" s="412" t="s">
        <v>279</v>
      </c>
      <c r="DG15" s="1162"/>
      <c r="DH15" s="1148">
        <v>0</v>
      </c>
      <c r="DI15" s="1161">
        <v>0.23333333333333334</v>
      </c>
      <c r="DJ15" s="1161">
        <v>0</v>
      </c>
      <c r="DK15" s="245">
        <v>0</v>
      </c>
      <c r="DL15" s="245">
        <v>0</v>
      </c>
      <c r="DM15" s="245">
        <v>0</v>
      </c>
      <c r="DN15" s="412" t="s">
        <v>279</v>
      </c>
      <c r="DO15" s="1162"/>
      <c r="DP15" s="1148">
        <v>0</v>
      </c>
      <c r="DQ15" s="1161">
        <v>0.23333333333333334</v>
      </c>
      <c r="DR15" s="1161"/>
      <c r="DS15" s="245">
        <v>0</v>
      </c>
      <c r="DT15" s="245">
        <v>0</v>
      </c>
      <c r="DU15" s="245">
        <v>0</v>
      </c>
      <c r="DV15" s="412" t="s">
        <v>279</v>
      </c>
      <c r="DW15" s="1162"/>
      <c r="DX15" s="1148">
        <v>0</v>
      </c>
      <c r="DY15" s="1161">
        <v>0.23333333333333334</v>
      </c>
      <c r="DZ15" s="1161"/>
      <c r="EA15" s="245">
        <v>0</v>
      </c>
      <c r="EB15" s="245">
        <v>0</v>
      </c>
      <c r="EC15" s="295">
        <v>0</v>
      </c>
      <c r="ED15" s="1171" t="s">
        <v>279</v>
      </c>
      <c r="EE15" s="323"/>
      <c r="EF15" s="1148">
        <v>0</v>
      </c>
      <c r="EG15" s="245">
        <v>0.7</v>
      </c>
      <c r="EH15" s="245">
        <v>0</v>
      </c>
      <c r="EI15" s="252">
        <v>0</v>
      </c>
      <c r="EJ15" s="245">
        <v>0</v>
      </c>
      <c r="EK15" s="295">
        <v>0</v>
      </c>
      <c r="EL15" s="246" t="s">
        <v>279</v>
      </c>
      <c r="EM15" s="323"/>
      <c r="EN15" s="1148">
        <v>0</v>
      </c>
      <c r="EO15" s="245">
        <v>1.2833333333333332</v>
      </c>
      <c r="EP15" s="245">
        <v>0</v>
      </c>
      <c r="EQ15" s="252">
        <v>0</v>
      </c>
      <c r="ER15" s="245">
        <v>0</v>
      </c>
      <c r="ES15" s="295">
        <v>0</v>
      </c>
      <c r="ET15" s="246" t="s">
        <v>279</v>
      </c>
      <c r="EU15" s="323"/>
      <c r="EV15" s="1148">
        <v>0</v>
      </c>
      <c r="EW15" s="245">
        <v>1.2833333333333332</v>
      </c>
      <c r="EX15" s="245">
        <v>0</v>
      </c>
      <c r="EY15" s="252">
        <v>0</v>
      </c>
      <c r="EZ15" s="245">
        <v>0</v>
      </c>
      <c r="FA15" s="295">
        <v>0</v>
      </c>
      <c r="FB15" s="1171" t="s">
        <v>279</v>
      </c>
    </row>
    <row r="16" spans="1:159" s="166" customFormat="1" ht="30" customHeight="1">
      <c r="A16" s="1733"/>
      <c r="B16" s="1733"/>
      <c r="C16" s="1737"/>
      <c r="D16" s="191" t="s">
        <v>847</v>
      </c>
      <c r="E16" s="886" t="s">
        <v>472</v>
      </c>
      <c r="F16" s="873">
        <v>1</v>
      </c>
      <c r="G16" s="874">
        <v>20</v>
      </c>
      <c r="H16" s="935"/>
      <c r="I16" s="469">
        <v>0.5</v>
      </c>
      <c r="J16" s="252">
        <v>4.4999999999999998E-2</v>
      </c>
      <c r="K16" s="694">
        <v>4.5</v>
      </c>
      <c r="L16" s="936"/>
      <c r="M16" s="294">
        <v>0.5</v>
      </c>
      <c r="N16" s="694">
        <v>0.95499999999999996</v>
      </c>
      <c r="O16" s="936"/>
      <c r="P16" s="465">
        <v>0</v>
      </c>
      <c r="Q16" s="245">
        <v>0</v>
      </c>
      <c r="R16" s="412">
        <v>0</v>
      </c>
      <c r="S16" s="938"/>
      <c r="T16" s="465">
        <v>0</v>
      </c>
      <c r="U16" s="245">
        <v>0</v>
      </c>
      <c r="V16" s="412">
        <v>0</v>
      </c>
      <c r="W16" s="1159"/>
      <c r="X16" s="465">
        <v>0</v>
      </c>
      <c r="Y16" s="245">
        <v>0</v>
      </c>
      <c r="Z16" s="412">
        <v>0</v>
      </c>
      <c r="AA16" s="1159"/>
      <c r="AB16" s="465">
        <v>0</v>
      </c>
      <c r="AC16" s="245">
        <v>0</v>
      </c>
      <c r="AD16" s="245">
        <v>0</v>
      </c>
      <c r="AE16" s="1159"/>
      <c r="AF16" s="1148">
        <v>0</v>
      </c>
      <c r="AG16" s="1169">
        <v>7.9583333333333325E-2</v>
      </c>
      <c r="AH16" s="1169">
        <v>0</v>
      </c>
      <c r="AI16" s="245">
        <v>0</v>
      </c>
      <c r="AJ16" s="245">
        <v>0</v>
      </c>
      <c r="AK16" s="245">
        <v>0</v>
      </c>
      <c r="AL16" s="412" t="s">
        <v>279</v>
      </c>
      <c r="AM16" s="1162"/>
      <c r="AN16" s="1148">
        <v>0</v>
      </c>
      <c r="AO16" s="1169">
        <v>7.9583333333333325E-2</v>
      </c>
      <c r="AP16" s="1169">
        <v>0</v>
      </c>
      <c r="AQ16" s="245">
        <v>0</v>
      </c>
      <c r="AR16" s="245">
        <v>0</v>
      </c>
      <c r="AS16" s="245">
        <v>0</v>
      </c>
      <c r="AT16" s="412" t="s">
        <v>279</v>
      </c>
      <c r="AU16" s="1162"/>
      <c r="AV16" s="1148">
        <v>0</v>
      </c>
      <c r="AW16" s="1161">
        <v>7.9583333333333325E-2</v>
      </c>
      <c r="AX16" s="1161">
        <v>0</v>
      </c>
      <c r="AY16" s="412">
        <v>0</v>
      </c>
      <c r="AZ16" s="1170">
        <v>0</v>
      </c>
      <c r="BA16" s="245">
        <v>0</v>
      </c>
      <c r="BB16" s="412" t="s">
        <v>279</v>
      </c>
      <c r="BC16" s="1162"/>
      <c r="BD16" s="1148">
        <v>0</v>
      </c>
      <c r="BE16" s="245">
        <v>0.23874999999999996</v>
      </c>
      <c r="BF16" s="245">
        <v>0</v>
      </c>
      <c r="BG16" s="245">
        <v>0</v>
      </c>
      <c r="BH16" s="245">
        <v>0</v>
      </c>
      <c r="BI16" s="245">
        <v>0</v>
      </c>
      <c r="BJ16" s="412" t="s">
        <v>279</v>
      </c>
      <c r="BK16" s="1162"/>
      <c r="BL16" s="1148">
        <v>0</v>
      </c>
      <c r="BM16" s="245"/>
      <c r="BN16" s="245">
        <v>0</v>
      </c>
      <c r="BO16" s="245">
        <v>0</v>
      </c>
      <c r="BP16" s="245">
        <v>0</v>
      </c>
      <c r="BQ16" s="245">
        <v>0</v>
      </c>
      <c r="BR16" s="412" t="s">
        <v>279</v>
      </c>
      <c r="BS16" s="1162"/>
      <c r="BT16" s="1148">
        <v>0</v>
      </c>
      <c r="BU16" s="1161">
        <v>0</v>
      </c>
      <c r="BV16" s="1161">
        <v>0</v>
      </c>
      <c r="BW16" s="412">
        <v>0</v>
      </c>
      <c r="BX16" s="1170">
        <v>0</v>
      </c>
      <c r="BY16" s="245">
        <v>0</v>
      </c>
      <c r="BZ16" s="412" t="s">
        <v>279</v>
      </c>
      <c r="CA16" s="1162"/>
      <c r="CB16" s="1148">
        <v>0</v>
      </c>
      <c r="CC16" s="1161">
        <v>0</v>
      </c>
      <c r="CD16" s="1161">
        <v>0</v>
      </c>
      <c r="CE16" s="245">
        <v>0</v>
      </c>
      <c r="CF16" s="245">
        <v>0</v>
      </c>
      <c r="CG16" s="245">
        <v>0</v>
      </c>
      <c r="CH16" s="412" t="s">
        <v>279</v>
      </c>
      <c r="CI16" s="1162"/>
      <c r="CJ16" s="1148">
        <v>0</v>
      </c>
      <c r="CK16" s="1161">
        <v>0.1061111111111111</v>
      </c>
      <c r="CL16" s="1161">
        <v>0</v>
      </c>
      <c r="CM16" s="245">
        <v>0</v>
      </c>
      <c r="CN16" s="245">
        <v>0</v>
      </c>
      <c r="CO16" s="245">
        <v>0</v>
      </c>
      <c r="CP16" s="412" t="s">
        <v>279</v>
      </c>
      <c r="CQ16" s="1162"/>
      <c r="CR16" s="1148">
        <v>0</v>
      </c>
      <c r="CS16" s="245">
        <v>0.1061111111111111</v>
      </c>
      <c r="CT16" s="245">
        <v>0</v>
      </c>
      <c r="CU16" s="245">
        <v>0</v>
      </c>
      <c r="CV16" s="245">
        <v>0</v>
      </c>
      <c r="CW16" s="245">
        <v>0</v>
      </c>
      <c r="CX16" s="412" t="s">
        <v>279</v>
      </c>
      <c r="CY16" s="1162"/>
      <c r="CZ16" s="1148">
        <v>0</v>
      </c>
      <c r="DA16" s="245"/>
      <c r="DB16" s="245">
        <v>0</v>
      </c>
      <c r="DC16" s="245">
        <v>0</v>
      </c>
      <c r="DD16" s="245">
        <v>0</v>
      </c>
      <c r="DE16" s="245">
        <v>0</v>
      </c>
      <c r="DF16" s="412" t="s">
        <v>279</v>
      </c>
      <c r="DG16" s="1162"/>
      <c r="DH16" s="1148">
        <v>0</v>
      </c>
      <c r="DI16" s="1161">
        <v>0.1061111111111111</v>
      </c>
      <c r="DJ16" s="1161">
        <v>0</v>
      </c>
      <c r="DK16" s="245">
        <v>0</v>
      </c>
      <c r="DL16" s="245">
        <v>0</v>
      </c>
      <c r="DM16" s="245">
        <v>0</v>
      </c>
      <c r="DN16" s="412" t="s">
        <v>279</v>
      </c>
      <c r="DO16" s="1162"/>
      <c r="DP16" s="1148">
        <v>0</v>
      </c>
      <c r="DQ16" s="1161">
        <v>0.1061111111111111</v>
      </c>
      <c r="DR16" s="1161"/>
      <c r="DS16" s="245">
        <v>0</v>
      </c>
      <c r="DT16" s="245">
        <v>0</v>
      </c>
      <c r="DU16" s="245">
        <v>0</v>
      </c>
      <c r="DV16" s="412" t="s">
        <v>279</v>
      </c>
      <c r="DW16" s="1162"/>
      <c r="DX16" s="1148">
        <v>0</v>
      </c>
      <c r="DY16" s="1161">
        <v>0.1061111111111111</v>
      </c>
      <c r="DZ16" s="1161"/>
      <c r="EA16" s="245">
        <v>0</v>
      </c>
      <c r="EB16" s="245">
        <v>0</v>
      </c>
      <c r="EC16" s="295">
        <v>0</v>
      </c>
      <c r="ED16" s="1171" t="s">
        <v>279</v>
      </c>
      <c r="EE16" s="323"/>
      <c r="EF16" s="1148">
        <v>0</v>
      </c>
      <c r="EG16" s="245">
        <v>0.3183333333333333</v>
      </c>
      <c r="EH16" s="245">
        <v>0</v>
      </c>
      <c r="EI16" s="252">
        <v>0</v>
      </c>
      <c r="EJ16" s="245">
        <v>0</v>
      </c>
      <c r="EK16" s="295">
        <v>0</v>
      </c>
      <c r="EL16" s="246" t="s">
        <v>279</v>
      </c>
      <c r="EM16" s="323"/>
      <c r="EN16" s="1148">
        <v>0</v>
      </c>
      <c r="EO16" s="245">
        <v>0.4244444444444444</v>
      </c>
      <c r="EP16" s="245">
        <v>0</v>
      </c>
      <c r="EQ16" s="252">
        <v>0</v>
      </c>
      <c r="ER16" s="245">
        <v>0</v>
      </c>
      <c r="ES16" s="295">
        <v>0</v>
      </c>
      <c r="ET16" s="246" t="s">
        <v>279</v>
      </c>
      <c r="EU16" s="323"/>
      <c r="EV16" s="1148">
        <v>0</v>
      </c>
      <c r="EW16" s="245">
        <v>0.4244444444444444</v>
      </c>
      <c r="EX16" s="245">
        <v>0</v>
      </c>
      <c r="EY16" s="252">
        <v>0</v>
      </c>
      <c r="EZ16" s="245">
        <v>0</v>
      </c>
      <c r="FA16" s="295">
        <v>0</v>
      </c>
      <c r="FB16" s="1171" t="s">
        <v>279</v>
      </c>
    </row>
    <row r="17" spans="1:158" s="166" customFormat="1" ht="30" customHeight="1">
      <c r="A17" s="1733"/>
      <c r="B17" s="1733"/>
      <c r="C17" s="1737"/>
      <c r="D17" s="191" t="s">
        <v>712</v>
      </c>
      <c r="E17" s="886" t="s">
        <v>472</v>
      </c>
      <c r="F17" s="873">
        <v>1</v>
      </c>
      <c r="G17" s="874">
        <v>15</v>
      </c>
      <c r="H17" s="935"/>
      <c r="I17" s="469">
        <v>0.5</v>
      </c>
      <c r="J17" s="252">
        <v>0.01</v>
      </c>
      <c r="K17" s="694">
        <v>1</v>
      </c>
      <c r="L17" s="936"/>
      <c r="M17" s="294">
        <v>0.5</v>
      </c>
      <c r="N17" s="694">
        <v>0.99</v>
      </c>
      <c r="O17" s="936"/>
      <c r="P17" s="465">
        <v>0</v>
      </c>
      <c r="Q17" s="245">
        <v>0</v>
      </c>
      <c r="R17" s="412">
        <v>0</v>
      </c>
      <c r="S17" s="938"/>
      <c r="T17" s="465">
        <v>0</v>
      </c>
      <c r="U17" s="245">
        <v>0</v>
      </c>
      <c r="V17" s="412">
        <v>0</v>
      </c>
      <c r="W17" s="1159"/>
      <c r="X17" s="465">
        <v>0</v>
      </c>
      <c r="Y17" s="245">
        <v>0</v>
      </c>
      <c r="Z17" s="412">
        <v>0</v>
      </c>
      <c r="AA17" s="1159"/>
      <c r="AB17" s="465">
        <v>0</v>
      </c>
      <c r="AC17" s="245">
        <v>0</v>
      </c>
      <c r="AD17" s="245">
        <v>0</v>
      </c>
      <c r="AE17" s="1159"/>
      <c r="AF17" s="1148">
        <v>0</v>
      </c>
      <c r="AG17" s="1169">
        <v>8.2500000000000004E-2</v>
      </c>
      <c r="AH17" s="1169">
        <v>0</v>
      </c>
      <c r="AI17" s="245">
        <v>0</v>
      </c>
      <c r="AJ17" s="245">
        <v>0</v>
      </c>
      <c r="AK17" s="245">
        <v>0</v>
      </c>
      <c r="AL17" s="412" t="s">
        <v>279</v>
      </c>
      <c r="AM17" s="1162"/>
      <c r="AN17" s="1148">
        <v>0</v>
      </c>
      <c r="AO17" s="1169">
        <v>8.2500000000000004E-2</v>
      </c>
      <c r="AP17" s="1169">
        <v>0</v>
      </c>
      <c r="AQ17" s="245">
        <v>0</v>
      </c>
      <c r="AR17" s="245">
        <v>0</v>
      </c>
      <c r="AS17" s="245">
        <v>0</v>
      </c>
      <c r="AT17" s="412" t="s">
        <v>279</v>
      </c>
      <c r="AU17" s="1162"/>
      <c r="AV17" s="1148">
        <v>121.21212121212122</v>
      </c>
      <c r="AW17" s="1169">
        <v>8.2500000000000004E-2</v>
      </c>
      <c r="AX17" s="1161">
        <v>0.1</v>
      </c>
      <c r="AY17" s="412">
        <v>1.5</v>
      </c>
      <c r="AZ17" s="1170">
        <v>0.1</v>
      </c>
      <c r="BA17" s="245">
        <v>1.5</v>
      </c>
      <c r="BB17" s="412" t="s">
        <v>279</v>
      </c>
      <c r="BC17" s="1162"/>
      <c r="BD17" s="1148">
        <v>40.404040404040408</v>
      </c>
      <c r="BE17" s="245">
        <v>0.2475</v>
      </c>
      <c r="BF17" s="245">
        <v>0.1</v>
      </c>
      <c r="BG17" s="245">
        <v>1.5</v>
      </c>
      <c r="BH17" s="245">
        <v>0.1</v>
      </c>
      <c r="BI17" s="245">
        <v>1.5</v>
      </c>
      <c r="BJ17" s="412" t="s">
        <v>279</v>
      </c>
      <c r="BK17" s="1162"/>
      <c r="BL17" s="1148">
        <v>0</v>
      </c>
      <c r="BM17" s="245"/>
      <c r="BN17" s="245">
        <v>0.1</v>
      </c>
      <c r="BO17" s="245">
        <v>1.5</v>
      </c>
      <c r="BP17" s="245">
        <v>0.1</v>
      </c>
      <c r="BQ17" s="245">
        <v>1.5</v>
      </c>
      <c r="BR17" s="412" t="s">
        <v>279</v>
      </c>
      <c r="BS17" s="1162"/>
      <c r="BT17" s="1148">
        <v>0</v>
      </c>
      <c r="BU17" s="1169">
        <v>8.2500000000000004E-2</v>
      </c>
      <c r="BV17" s="1161">
        <v>0</v>
      </c>
      <c r="BW17" s="412">
        <v>0</v>
      </c>
      <c r="BX17" s="1170">
        <v>0.1</v>
      </c>
      <c r="BY17" s="245">
        <v>1.5</v>
      </c>
      <c r="BZ17" s="412" t="s">
        <v>279</v>
      </c>
      <c r="CA17" s="1162"/>
      <c r="CB17" s="1148">
        <v>72.72727272727272</v>
      </c>
      <c r="CC17" s="1169">
        <v>8.2500000000000004E-2</v>
      </c>
      <c r="CD17" s="1161">
        <v>0.06</v>
      </c>
      <c r="CE17" s="245">
        <v>0.89999999999999991</v>
      </c>
      <c r="CF17" s="245">
        <v>0.16</v>
      </c>
      <c r="CG17" s="245">
        <v>2.4</v>
      </c>
      <c r="CH17" s="412" t="s">
        <v>279</v>
      </c>
      <c r="CI17" s="1162"/>
      <c r="CJ17" s="1148">
        <v>100</v>
      </c>
      <c r="CK17" s="1161">
        <v>0.11</v>
      </c>
      <c r="CL17" s="1161">
        <v>0.11</v>
      </c>
      <c r="CM17" s="245">
        <v>1.65</v>
      </c>
      <c r="CN17" s="245">
        <v>0.27</v>
      </c>
      <c r="CO17" s="245">
        <v>4.0500000000000007</v>
      </c>
      <c r="CP17" s="412" t="s">
        <v>279</v>
      </c>
      <c r="CQ17" s="1162"/>
      <c r="CR17" s="1148">
        <v>61.818181818181806</v>
      </c>
      <c r="CS17" s="245">
        <v>0.27500000000000002</v>
      </c>
      <c r="CT17" s="245">
        <v>0.16999999999999998</v>
      </c>
      <c r="CU17" s="245">
        <v>2.5499999999999998</v>
      </c>
      <c r="CV17" s="245">
        <v>0.27</v>
      </c>
      <c r="CW17" s="245">
        <v>4.0500000000000007</v>
      </c>
      <c r="CX17" s="412" t="s">
        <v>279</v>
      </c>
      <c r="CY17" s="1162"/>
      <c r="CZ17" s="1148">
        <v>0</v>
      </c>
      <c r="DA17" s="245"/>
      <c r="DB17" s="245">
        <v>0.27</v>
      </c>
      <c r="DC17" s="245">
        <v>4.0500000000000007</v>
      </c>
      <c r="DD17" s="245">
        <v>0.27</v>
      </c>
      <c r="DE17" s="245">
        <v>4.0500000000000007</v>
      </c>
      <c r="DF17" s="412" t="s">
        <v>279</v>
      </c>
      <c r="DG17" s="1162"/>
      <c r="DH17" s="1148">
        <v>105</v>
      </c>
      <c r="DI17" s="1161">
        <v>0.11</v>
      </c>
      <c r="DJ17" s="1161">
        <v>0.11550000000000001</v>
      </c>
      <c r="DK17" s="245">
        <v>1.7325000000000002</v>
      </c>
      <c r="DL17" s="245">
        <v>0.38550000000000001</v>
      </c>
      <c r="DM17" s="245">
        <v>5.7824999999999998</v>
      </c>
      <c r="DN17" s="412" t="s">
        <v>279</v>
      </c>
      <c r="DO17" s="1162"/>
      <c r="DP17" s="1148">
        <v>0</v>
      </c>
      <c r="DQ17" s="1161">
        <v>0.11</v>
      </c>
      <c r="DR17" s="1161"/>
      <c r="DS17" s="245">
        <v>0</v>
      </c>
      <c r="DT17" s="245">
        <v>0.38550000000000001</v>
      </c>
      <c r="DU17" s="245">
        <v>5.7824999999999998</v>
      </c>
      <c r="DV17" s="412" t="s">
        <v>279</v>
      </c>
      <c r="DW17" s="1162"/>
      <c r="DX17" s="1148">
        <v>0</v>
      </c>
      <c r="DY17" s="1161">
        <v>0.11</v>
      </c>
      <c r="DZ17" s="1161"/>
      <c r="EA17" s="245">
        <v>0</v>
      </c>
      <c r="EB17" s="245">
        <v>0.38550000000000001</v>
      </c>
      <c r="EC17" s="295">
        <v>5.7824999999999998</v>
      </c>
      <c r="ED17" s="1171" t="s">
        <v>279</v>
      </c>
      <c r="EE17" s="323"/>
      <c r="EF17" s="1148">
        <v>35</v>
      </c>
      <c r="EG17" s="245">
        <v>0.33</v>
      </c>
      <c r="EH17" s="245">
        <v>0.11550000000000001</v>
      </c>
      <c r="EI17" s="252">
        <v>1.7325000000000002</v>
      </c>
      <c r="EJ17" s="245">
        <v>0.38550000000000001</v>
      </c>
      <c r="EK17" s="295">
        <v>5.7824999999999998</v>
      </c>
      <c r="EL17" s="246" t="s">
        <v>279</v>
      </c>
      <c r="EM17" s="323"/>
      <c r="EN17" s="1148">
        <v>47.190082644628092</v>
      </c>
      <c r="EO17" s="245">
        <v>0.60499999999999998</v>
      </c>
      <c r="EP17" s="245">
        <v>0.28549999999999998</v>
      </c>
      <c r="EQ17" s="252">
        <v>4.2824999999999998</v>
      </c>
      <c r="ER17" s="245">
        <v>0.38550000000000001</v>
      </c>
      <c r="ES17" s="295">
        <v>5.7824999999999998</v>
      </c>
      <c r="ET17" s="246" t="s">
        <v>279</v>
      </c>
      <c r="EU17" s="323"/>
      <c r="EV17" s="1148">
        <v>63.719008264462808</v>
      </c>
      <c r="EW17" s="245">
        <v>0.60499999999999998</v>
      </c>
      <c r="EX17" s="245">
        <v>0.38549999999999995</v>
      </c>
      <c r="EY17" s="252">
        <v>5.7824999999999989</v>
      </c>
      <c r="EZ17" s="245">
        <v>0.38550000000000001</v>
      </c>
      <c r="FA17" s="295">
        <v>5.7824999999999998</v>
      </c>
      <c r="FB17" s="1171" t="s">
        <v>279</v>
      </c>
    </row>
    <row r="18" spans="1:158" s="166" customFormat="1" ht="30" customHeight="1">
      <c r="A18" s="1733"/>
      <c r="B18" s="1733"/>
      <c r="C18" s="1737"/>
      <c r="D18" s="191" t="s">
        <v>713</v>
      </c>
      <c r="E18" s="886" t="s">
        <v>789</v>
      </c>
      <c r="F18" s="873">
        <v>1</v>
      </c>
      <c r="G18" s="874">
        <v>5</v>
      </c>
      <c r="H18" s="935"/>
      <c r="I18" s="469">
        <v>0</v>
      </c>
      <c r="J18" s="252">
        <v>0</v>
      </c>
      <c r="K18" s="694"/>
      <c r="L18" s="936"/>
      <c r="M18" s="294">
        <v>0.3</v>
      </c>
      <c r="N18" s="694">
        <v>0.3</v>
      </c>
      <c r="O18" s="936"/>
      <c r="P18" s="465">
        <v>0</v>
      </c>
      <c r="Q18" s="245">
        <v>0</v>
      </c>
      <c r="R18" s="412">
        <v>0</v>
      </c>
      <c r="S18" s="938"/>
      <c r="T18" s="465">
        <v>0</v>
      </c>
      <c r="U18" s="245">
        <v>0</v>
      </c>
      <c r="V18" s="412">
        <v>0</v>
      </c>
      <c r="W18" s="1159"/>
      <c r="X18" s="465">
        <v>0</v>
      </c>
      <c r="Y18" s="245">
        <v>0</v>
      </c>
      <c r="Z18" s="412">
        <v>0</v>
      </c>
      <c r="AA18" s="1159"/>
      <c r="AB18" s="465"/>
      <c r="AC18" s="245"/>
      <c r="AD18" s="245"/>
      <c r="AE18" s="1159"/>
      <c r="AF18" s="1148">
        <v>0</v>
      </c>
      <c r="AG18" s="1169">
        <v>2.4999999999999998E-2</v>
      </c>
      <c r="AH18" s="1169"/>
      <c r="AI18" s="245"/>
      <c r="AJ18" s="245"/>
      <c r="AK18" s="245"/>
      <c r="AL18" s="412"/>
      <c r="AM18" s="1162"/>
      <c r="AN18" s="1148">
        <v>0</v>
      </c>
      <c r="AO18" s="1169">
        <v>2.4999999999999998E-2</v>
      </c>
      <c r="AP18" s="1169"/>
      <c r="AQ18" s="245"/>
      <c r="AR18" s="245"/>
      <c r="AS18" s="245"/>
      <c r="AT18" s="412"/>
      <c r="AU18" s="1162"/>
      <c r="AV18" s="1148">
        <v>0</v>
      </c>
      <c r="AW18" s="1169">
        <v>2.4999999999999998E-2</v>
      </c>
      <c r="AX18" s="1161">
        <v>0</v>
      </c>
      <c r="AY18" s="412"/>
      <c r="AZ18" s="1170"/>
      <c r="BA18" s="245"/>
      <c r="BB18" s="412"/>
      <c r="BC18" s="1162"/>
      <c r="BD18" s="1148">
        <v>0</v>
      </c>
      <c r="BE18" s="245"/>
      <c r="BF18" s="245"/>
      <c r="BG18" s="245"/>
      <c r="BH18" s="245"/>
      <c r="BI18" s="245"/>
      <c r="BJ18" s="412"/>
      <c r="BK18" s="1162"/>
      <c r="BL18" s="1148">
        <v>0</v>
      </c>
      <c r="BM18" s="245"/>
      <c r="BN18" s="245"/>
      <c r="BO18" s="245"/>
      <c r="BP18" s="245"/>
      <c r="BQ18" s="245"/>
      <c r="BR18" s="412"/>
      <c r="BS18" s="1162"/>
      <c r="BT18" s="1148">
        <v>0</v>
      </c>
      <c r="BU18" s="1169">
        <v>2.4999999999999998E-2</v>
      </c>
      <c r="BV18" s="1161">
        <v>0</v>
      </c>
      <c r="BW18" s="412"/>
      <c r="BX18" s="1170"/>
      <c r="BY18" s="245"/>
      <c r="BZ18" s="412"/>
      <c r="CA18" s="1162"/>
      <c r="CB18" s="1148">
        <v>0</v>
      </c>
      <c r="CC18" s="1169">
        <v>2.4999999999999998E-2</v>
      </c>
      <c r="CD18" s="1161">
        <v>0</v>
      </c>
      <c r="CE18" s="245"/>
      <c r="CF18" s="245"/>
      <c r="CG18" s="245"/>
      <c r="CH18" s="412"/>
      <c r="CI18" s="1162"/>
      <c r="CJ18" s="1148">
        <v>0</v>
      </c>
      <c r="CK18" s="1161">
        <v>3.3333333333333333E-2</v>
      </c>
      <c r="CL18" s="1161">
        <v>0</v>
      </c>
      <c r="CM18" s="245"/>
      <c r="CN18" s="245"/>
      <c r="CO18" s="245"/>
      <c r="CP18" s="412"/>
      <c r="CQ18" s="1162"/>
      <c r="CR18" s="1148">
        <v>0</v>
      </c>
      <c r="CS18" s="245"/>
      <c r="CT18" s="245"/>
      <c r="CU18" s="245"/>
      <c r="CV18" s="245"/>
      <c r="CW18" s="245"/>
      <c r="CX18" s="412"/>
      <c r="CY18" s="1162"/>
      <c r="CZ18" s="1148">
        <v>0</v>
      </c>
      <c r="DA18" s="245"/>
      <c r="DB18" s="245"/>
      <c r="DC18" s="245"/>
      <c r="DD18" s="245"/>
      <c r="DE18" s="245"/>
      <c r="DF18" s="412"/>
      <c r="DG18" s="1162"/>
      <c r="DH18" s="1148">
        <v>0</v>
      </c>
      <c r="DI18" s="1161">
        <v>3.3333333333333333E-2</v>
      </c>
      <c r="DJ18" s="1161">
        <v>0</v>
      </c>
      <c r="DK18" s="245"/>
      <c r="DL18" s="245"/>
      <c r="DM18" s="245"/>
      <c r="DN18" s="412"/>
      <c r="DO18" s="1162"/>
      <c r="DP18" s="1148">
        <v>0</v>
      </c>
      <c r="DQ18" s="1161">
        <v>3.3333333333333333E-2</v>
      </c>
      <c r="DR18" s="1161"/>
      <c r="DS18" s="245"/>
      <c r="DT18" s="245"/>
      <c r="DU18" s="245"/>
      <c r="DV18" s="412"/>
      <c r="DW18" s="1162"/>
      <c r="DX18" s="1148">
        <v>0</v>
      </c>
      <c r="DY18" s="1161">
        <v>3.3333333333333333E-2</v>
      </c>
      <c r="DZ18" s="1161"/>
      <c r="EA18" s="245"/>
      <c r="EB18" s="245"/>
      <c r="EC18" s="295"/>
      <c r="ED18" s="1171"/>
      <c r="EE18" s="323"/>
      <c r="EF18" s="1148">
        <v>0</v>
      </c>
      <c r="EG18" s="245"/>
      <c r="EH18" s="245"/>
      <c r="EI18" s="252"/>
      <c r="EJ18" s="245"/>
      <c r="EK18" s="295"/>
      <c r="EL18" s="246"/>
      <c r="EM18" s="323"/>
      <c r="EN18" s="1148">
        <v>0</v>
      </c>
      <c r="EO18" s="245"/>
      <c r="EP18" s="245"/>
      <c r="EQ18" s="252"/>
      <c r="ER18" s="245"/>
      <c r="ES18" s="295"/>
      <c r="ET18" s="246"/>
      <c r="EU18" s="323"/>
      <c r="EV18" s="1148">
        <v>0</v>
      </c>
      <c r="EW18" s="245"/>
      <c r="EX18" s="245"/>
      <c r="EY18" s="252"/>
      <c r="EZ18" s="245"/>
      <c r="FA18" s="295"/>
      <c r="FB18" s="1171"/>
    </row>
    <row r="19" spans="1:158" s="166" customFormat="1" ht="30" customHeight="1">
      <c r="A19" s="1733"/>
      <c r="B19" s="1733"/>
      <c r="C19" s="1737"/>
      <c r="D19" s="191" t="s">
        <v>714</v>
      </c>
      <c r="E19" s="886" t="s">
        <v>472</v>
      </c>
      <c r="F19" s="873">
        <v>1</v>
      </c>
      <c r="G19" s="874">
        <v>5</v>
      </c>
      <c r="H19" s="935"/>
      <c r="I19" s="469">
        <v>0</v>
      </c>
      <c r="J19" s="252">
        <v>0</v>
      </c>
      <c r="K19" s="694"/>
      <c r="L19" s="936"/>
      <c r="M19" s="294">
        <v>0.3</v>
      </c>
      <c r="N19" s="694">
        <v>0.3</v>
      </c>
      <c r="O19" s="936"/>
      <c r="P19" s="465">
        <v>0</v>
      </c>
      <c r="Q19" s="245">
        <v>0</v>
      </c>
      <c r="R19" s="412">
        <v>0</v>
      </c>
      <c r="S19" s="938"/>
      <c r="T19" s="465">
        <v>0</v>
      </c>
      <c r="U19" s="245">
        <v>0</v>
      </c>
      <c r="V19" s="412">
        <v>0</v>
      </c>
      <c r="W19" s="1159"/>
      <c r="X19" s="465">
        <v>0</v>
      </c>
      <c r="Y19" s="245">
        <v>0</v>
      </c>
      <c r="Z19" s="412">
        <v>0</v>
      </c>
      <c r="AA19" s="1159"/>
      <c r="AB19" s="465"/>
      <c r="AC19" s="245"/>
      <c r="AD19" s="245"/>
      <c r="AE19" s="1159"/>
      <c r="AF19" s="1148">
        <v>0</v>
      </c>
      <c r="AG19" s="1169">
        <v>2.4999999999999998E-2</v>
      </c>
      <c r="AH19" s="1169"/>
      <c r="AI19" s="245"/>
      <c r="AJ19" s="245"/>
      <c r="AK19" s="245"/>
      <c r="AL19" s="412"/>
      <c r="AM19" s="1162"/>
      <c r="AN19" s="1148">
        <v>0</v>
      </c>
      <c r="AO19" s="1169">
        <v>2.4999999999999998E-2</v>
      </c>
      <c r="AP19" s="1169"/>
      <c r="AQ19" s="245"/>
      <c r="AR19" s="245"/>
      <c r="AS19" s="245"/>
      <c r="AT19" s="412"/>
      <c r="AU19" s="1162"/>
      <c r="AV19" s="1148">
        <v>80</v>
      </c>
      <c r="AW19" s="1169">
        <v>2.4999999999999998E-2</v>
      </c>
      <c r="AX19" s="1161">
        <v>0.02</v>
      </c>
      <c r="AY19" s="412"/>
      <c r="AZ19" s="1170"/>
      <c r="BA19" s="245"/>
      <c r="BB19" s="412"/>
      <c r="BC19" s="1162"/>
      <c r="BD19" s="1148">
        <v>0</v>
      </c>
      <c r="BE19" s="245"/>
      <c r="BF19" s="245"/>
      <c r="BG19" s="245"/>
      <c r="BH19" s="245"/>
      <c r="BI19" s="245"/>
      <c r="BJ19" s="412"/>
      <c r="BK19" s="1162"/>
      <c r="BL19" s="1148">
        <v>0</v>
      </c>
      <c r="BM19" s="245"/>
      <c r="BN19" s="245"/>
      <c r="BO19" s="245"/>
      <c r="BP19" s="245"/>
      <c r="BQ19" s="245"/>
      <c r="BR19" s="412"/>
      <c r="BS19" s="1162"/>
      <c r="BT19" s="1148">
        <v>40</v>
      </c>
      <c r="BU19" s="1169">
        <v>2.4999999999999998E-2</v>
      </c>
      <c r="BV19" s="1161">
        <v>0.01</v>
      </c>
      <c r="BW19" s="412"/>
      <c r="BX19" s="1170"/>
      <c r="BY19" s="245"/>
      <c r="BZ19" s="412"/>
      <c r="CA19" s="1162"/>
      <c r="CB19" s="1148">
        <v>0</v>
      </c>
      <c r="CC19" s="1169">
        <v>2.4999999999999998E-2</v>
      </c>
      <c r="CD19" s="1161">
        <v>0</v>
      </c>
      <c r="CE19" s="245"/>
      <c r="CF19" s="245"/>
      <c r="CG19" s="245"/>
      <c r="CH19" s="412"/>
      <c r="CI19" s="1162"/>
      <c r="CJ19" s="1148">
        <v>0</v>
      </c>
      <c r="CK19" s="1161">
        <v>3.3333333333333333E-2</v>
      </c>
      <c r="CL19" s="1161">
        <v>0</v>
      </c>
      <c r="CM19" s="245"/>
      <c r="CN19" s="245"/>
      <c r="CO19" s="245"/>
      <c r="CP19" s="412"/>
      <c r="CQ19" s="1162"/>
      <c r="CR19" s="1148">
        <v>0</v>
      </c>
      <c r="CS19" s="245"/>
      <c r="CT19" s="245"/>
      <c r="CU19" s="245"/>
      <c r="CV19" s="245"/>
      <c r="CW19" s="245"/>
      <c r="CX19" s="412"/>
      <c r="CY19" s="1162"/>
      <c r="CZ19" s="1148">
        <v>0</v>
      </c>
      <c r="DA19" s="245"/>
      <c r="DB19" s="245"/>
      <c r="DC19" s="245"/>
      <c r="DD19" s="245"/>
      <c r="DE19" s="245"/>
      <c r="DF19" s="412"/>
      <c r="DG19" s="1162"/>
      <c r="DH19" s="1148">
        <v>0</v>
      </c>
      <c r="DI19" s="1161">
        <v>3.3333333333333333E-2</v>
      </c>
      <c r="DJ19" s="1161">
        <v>0</v>
      </c>
      <c r="DK19" s="245"/>
      <c r="DL19" s="245"/>
      <c r="DM19" s="245"/>
      <c r="DN19" s="412"/>
      <c r="DO19" s="1162"/>
      <c r="DP19" s="1148">
        <v>0</v>
      </c>
      <c r="DQ19" s="1161">
        <v>3.3333333333333333E-2</v>
      </c>
      <c r="DR19" s="1161"/>
      <c r="DS19" s="245"/>
      <c r="DT19" s="245"/>
      <c r="DU19" s="245"/>
      <c r="DV19" s="412"/>
      <c r="DW19" s="1162"/>
      <c r="DX19" s="1148">
        <v>0</v>
      </c>
      <c r="DY19" s="1161">
        <v>3.3333333333333333E-2</v>
      </c>
      <c r="DZ19" s="1161"/>
      <c r="EA19" s="245"/>
      <c r="EB19" s="245"/>
      <c r="EC19" s="295"/>
      <c r="ED19" s="1171"/>
      <c r="EE19" s="323"/>
      <c r="EF19" s="1148">
        <v>0</v>
      </c>
      <c r="EG19" s="245"/>
      <c r="EH19" s="245"/>
      <c r="EI19" s="252"/>
      <c r="EJ19" s="245"/>
      <c r="EK19" s="295"/>
      <c r="EL19" s="246"/>
      <c r="EM19" s="323"/>
      <c r="EN19" s="1148">
        <v>0</v>
      </c>
      <c r="EO19" s="245"/>
      <c r="EP19" s="245"/>
      <c r="EQ19" s="252"/>
      <c r="ER19" s="245"/>
      <c r="ES19" s="295"/>
      <c r="ET19" s="246"/>
      <c r="EU19" s="323"/>
      <c r="EV19" s="1148">
        <v>0</v>
      </c>
      <c r="EW19" s="245"/>
      <c r="EX19" s="245"/>
      <c r="EY19" s="252"/>
      <c r="EZ19" s="245"/>
      <c r="FA19" s="295"/>
      <c r="FB19" s="1171"/>
    </row>
    <row r="20" spans="1:158" s="166" customFormat="1" ht="30" customHeight="1">
      <c r="A20" s="1733"/>
      <c r="B20" s="1733"/>
      <c r="C20" s="1737"/>
      <c r="D20" s="191" t="s">
        <v>65</v>
      </c>
      <c r="E20" s="886" t="s">
        <v>11</v>
      </c>
      <c r="F20" s="873">
        <v>2</v>
      </c>
      <c r="G20" s="874">
        <v>20</v>
      </c>
      <c r="H20" s="935"/>
      <c r="I20" s="469">
        <v>0.5</v>
      </c>
      <c r="J20" s="252">
        <v>0</v>
      </c>
      <c r="K20" s="694">
        <v>0</v>
      </c>
      <c r="L20" s="936"/>
      <c r="M20" s="294">
        <v>0</v>
      </c>
      <c r="N20" s="694">
        <v>0.5</v>
      </c>
      <c r="O20" s="936"/>
      <c r="P20" s="465">
        <v>0</v>
      </c>
      <c r="Q20" s="245">
        <v>0</v>
      </c>
      <c r="R20" s="412">
        <v>0</v>
      </c>
      <c r="S20" s="938"/>
      <c r="T20" s="465">
        <v>0</v>
      </c>
      <c r="U20" s="245">
        <v>0</v>
      </c>
      <c r="V20" s="412">
        <v>0</v>
      </c>
      <c r="W20" s="1159"/>
      <c r="X20" s="465">
        <v>0</v>
      </c>
      <c r="Y20" s="245">
        <v>0</v>
      </c>
      <c r="Z20" s="412">
        <v>0</v>
      </c>
      <c r="AA20" s="1159"/>
      <c r="AB20" s="465">
        <v>0</v>
      </c>
      <c r="AC20" s="245">
        <v>0</v>
      </c>
      <c r="AD20" s="245">
        <v>0</v>
      </c>
      <c r="AE20" s="1159"/>
      <c r="AF20" s="1148">
        <v>480.00000000000006</v>
      </c>
      <c r="AG20" s="245">
        <v>4.1666666666666664E-2</v>
      </c>
      <c r="AH20" s="245">
        <v>0.2</v>
      </c>
      <c r="AI20" s="245">
        <v>2</v>
      </c>
      <c r="AJ20" s="245">
        <v>0.2</v>
      </c>
      <c r="AK20" s="245">
        <v>2</v>
      </c>
      <c r="AL20" s="412" t="s">
        <v>279</v>
      </c>
      <c r="AM20" s="1162"/>
      <c r="AN20" s="1148">
        <v>0</v>
      </c>
      <c r="AO20" s="1169">
        <v>4.1666666666666664E-2</v>
      </c>
      <c r="AP20" s="1169">
        <v>0</v>
      </c>
      <c r="AQ20" s="245">
        <v>0</v>
      </c>
      <c r="AR20" s="245">
        <v>2</v>
      </c>
      <c r="AS20" s="245">
        <v>20</v>
      </c>
      <c r="AT20" s="412" t="s">
        <v>279</v>
      </c>
      <c r="AU20" s="1162"/>
      <c r="AV20" s="1148">
        <v>0</v>
      </c>
      <c r="AW20" s="1161">
        <v>4.1666666666666664E-2</v>
      </c>
      <c r="AX20" s="1161">
        <v>0</v>
      </c>
      <c r="AY20" s="412">
        <v>0</v>
      </c>
      <c r="AZ20" s="1170">
        <v>2</v>
      </c>
      <c r="BA20" s="245">
        <v>20</v>
      </c>
      <c r="BB20" s="412" t="s">
        <v>279</v>
      </c>
      <c r="BC20" s="1162"/>
      <c r="BD20" s="1148">
        <v>160</v>
      </c>
      <c r="BE20" s="245">
        <v>0.125</v>
      </c>
      <c r="BF20" s="245">
        <v>0.2</v>
      </c>
      <c r="BG20" s="245">
        <v>2</v>
      </c>
      <c r="BH20" s="245">
        <v>2</v>
      </c>
      <c r="BI20" s="245">
        <v>20</v>
      </c>
      <c r="BJ20" s="412" t="s">
        <v>279</v>
      </c>
      <c r="BK20" s="1162"/>
      <c r="BL20" s="1148">
        <v>0</v>
      </c>
      <c r="BM20" s="245"/>
      <c r="BN20" s="245">
        <v>0.2</v>
      </c>
      <c r="BO20" s="245">
        <v>2</v>
      </c>
      <c r="BP20" s="245">
        <v>2</v>
      </c>
      <c r="BQ20" s="245">
        <v>20</v>
      </c>
      <c r="BR20" s="412" t="s">
        <v>279</v>
      </c>
      <c r="BS20" s="1162"/>
      <c r="BT20" s="1148">
        <v>0</v>
      </c>
      <c r="BU20" s="1161">
        <v>0</v>
      </c>
      <c r="BV20" s="1161">
        <v>0</v>
      </c>
      <c r="BW20" s="412">
        <v>0</v>
      </c>
      <c r="BX20" s="1170">
        <v>2</v>
      </c>
      <c r="BY20" s="245">
        <v>20</v>
      </c>
      <c r="BZ20" s="412" t="s">
        <v>279</v>
      </c>
      <c r="CA20" s="1162"/>
      <c r="CB20" s="1148">
        <v>0</v>
      </c>
      <c r="CC20" s="245">
        <v>4.1666666666666664E-2</v>
      </c>
      <c r="CD20" s="1161">
        <v>0</v>
      </c>
      <c r="CE20" s="245">
        <v>0</v>
      </c>
      <c r="CF20" s="245">
        <v>2</v>
      </c>
      <c r="CG20" s="245">
        <v>20</v>
      </c>
      <c r="CH20" s="412" t="s">
        <v>279</v>
      </c>
      <c r="CI20" s="1162"/>
      <c r="CJ20" s="1148">
        <v>0</v>
      </c>
      <c r="CK20" s="1161">
        <v>5.5555555555555552E-2</v>
      </c>
      <c r="CL20" s="1161">
        <v>0</v>
      </c>
      <c r="CM20" s="245">
        <v>0</v>
      </c>
      <c r="CN20" s="245">
        <v>2</v>
      </c>
      <c r="CO20" s="245">
        <v>20</v>
      </c>
      <c r="CP20" s="412" t="s">
        <v>279</v>
      </c>
      <c r="CQ20" s="1162"/>
      <c r="CR20" s="1148">
        <v>0</v>
      </c>
      <c r="CS20" s="245">
        <v>9.722222222222221E-2</v>
      </c>
      <c r="CT20" s="245">
        <v>0</v>
      </c>
      <c r="CU20" s="245">
        <v>0</v>
      </c>
      <c r="CV20" s="245">
        <v>2</v>
      </c>
      <c r="CW20" s="245">
        <v>20</v>
      </c>
      <c r="CX20" s="412" t="s">
        <v>279</v>
      </c>
      <c r="CY20" s="1162"/>
      <c r="CZ20" s="1148">
        <v>0</v>
      </c>
      <c r="DA20" s="245"/>
      <c r="DB20" s="245">
        <v>0.2</v>
      </c>
      <c r="DC20" s="245">
        <v>2</v>
      </c>
      <c r="DD20" s="245">
        <v>2</v>
      </c>
      <c r="DE20" s="245">
        <v>20</v>
      </c>
      <c r="DF20" s="412" t="s">
        <v>279</v>
      </c>
      <c r="DG20" s="1162"/>
      <c r="DH20" s="1148">
        <v>0</v>
      </c>
      <c r="DI20" s="1161">
        <v>5.5555555555555552E-2</v>
      </c>
      <c r="DJ20" s="1161">
        <v>0</v>
      </c>
      <c r="DK20" s="245">
        <v>0</v>
      </c>
      <c r="DL20" s="245">
        <v>2</v>
      </c>
      <c r="DM20" s="245">
        <v>20</v>
      </c>
      <c r="DN20" s="412" t="s">
        <v>279</v>
      </c>
      <c r="DO20" s="1162"/>
      <c r="DP20" s="1148">
        <v>0</v>
      </c>
      <c r="DQ20" s="1161">
        <v>5.5555555555555552E-2</v>
      </c>
      <c r="DR20" s="1161"/>
      <c r="DS20" s="245">
        <v>0</v>
      </c>
      <c r="DT20" s="245">
        <v>2</v>
      </c>
      <c r="DU20" s="245">
        <v>20</v>
      </c>
      <c r="DV20" s="412" t="s">
        <v>279</v>
      </c>
      <c r="DW20" s="1162"/>
      <c r="DX20" s="1148">
        <v>0</v>
      </c>
      <c r="DY20" s="1161">
        <v>5.5555555555555552E-2</v>
      </c>
      <c r="DZ20" s="1161"/>
      <c r="EA20" s="245">
        <v>0</v>
      </c>
      <c r="EB20" s="245">
        <v>2</v>
      </c>
      <c r="EC20" s="295">
        <v>20</v>
      </c>
      <c r="ED20" s="1171" t="s">
        <v>279</v>
      </c>
      <c r="EE20" s="323"/>
      <c r="EF20" s="1148">
        <v>0</v>
      </c>
      <c r="EG20" s="245">
        <v>0.16666666666666666</v>
      </c>
      <c r="EH20" s="245">
        <v>0</v>
      </c>
      <c r="EI20" s="252">
        <v>0</v>
      </c>
      <c r="EJ20" s="245">
        <v>2</v>
      </c>
      <c r="EK20" s="295">
        <v>20</v>
      </c>
      <c r="EL20" s="246" t="s">
        <v>279</v>
      </c>
      <c r="EM20" s="323"/>
      <c r="EN20" s="1148">
        <v>0</v>
      </c>
      <c r="EO20" s="245">
        <v>0.26388888888888884</v>
      </c>
      <c r="EP20" s="245">
        <v>0</v>
      </c>
      <c r="EQ20" s="252">
        <v>0</v>
      </c>
      <c r="ER20" s="245">
        <v>2</v>
      </c>
      <c r="ES20" s="295">
        <v>20</v>
      </c>
      <c r="ET20" s="246" t="s">
        <v>279</v>
      </c>
      <c r="EU20" s="323"/>
      <c r="EV20" s="1148">
        <v>75.789473684210535</v>
      </c>
      <c r="EW20" s="245">
        <v>0.26388888888888884</v>
      </c>
      <c r="EX20" s="245">
        <v>0.2</v>
      </c>
      <c r="EY20" s="252">
        <v>2</v>
      </c>
      <c r="EZ20" s="245">
        <v>2</v>
      </c>
      <c r="FA20" s="295">
        <v>20</v>
      </c>
      <c r="FB20" s="1171" t="s">
        <v>279</v>
      </c>
    </row>
    <row r="21" spans="1:158" s="166" customFormat="1" ht="30" customHeight="1" thickBot="1">
      <c r="A21" s="1749"/>
      <c r="B21" s="1749"/>
      <c r="C21" s="1751"/>
      <c r="D21" s="193" t="s">
        <v>14</v>
      </c>
      <c r="E21" s="889"/>
      <c r="F21" s="877" t="s">
        <v>4</v>
      </c>
      <c r="G21" s="877">
        <v>100</v>
      </c>
      <c r="H21" s="935"/>
      <c r="I21" s="470"/>
      <c r="J21" s="257"/>
      <c r="K21" s="258">
        <v>14.5</v>
      </c>
      <c r="L21" s="936"/>
      <c r="M21" s="301"/>
      <c r="N21" s="258"/>
      <c r="O21" s="936"/>
      <c r="P21" s="466"/>
      <c r="Q21" s="490"/>
      <c r="R21" s="854">
        <v>0</v>
      </c>
      <c r="S21" s="938"/>
      <c r="T21" s="466"/>
      <c r="U21" s="490"/>
      <c r="V21" s="854">
        <v>0</v>
      </c>
      <c r="W21" s="1159"/>
      <c r="X21" s="466"/>
      <c r="Y21" s="490"/>
      <c r="Z21" s="854">
        <v>0</v>
      </c>
      <c r="AA21" s="1159"/>
      <c r="AB21" s="466"/>
      <c r="AC21" s="490">
        <v>0</v>
      </c>
      <c r="AD21" s="854">
        <v>0</v>
      </c>
      <c r="AE21" s="1159"/>
      <c r="AF21" s="1173"/>
      <c r="AG21" s="939"/>
      <c r="AH21" s="939"/>
      <c r="AI21" s="490">
        <v>6</v>
      </c>
      <c r="AJ21" s="939"/>
      <c r="AK21" s="490">
        <v>6</v>
      </c>
      <c r="AL21" s="467"/>
      <c r="AM21" s="1162"/>
      <c r="AN21" s="1173"/>
      <c r="AO21" s="1174"/>
      <c r="AP21" s="1174"/>
      <c r="AQ21" s="854">
        <v>0</v>
      </c>
      <c r="AR21" s="939"/>
      <c r="AS21" s="490">
        <v>100</v>
      </c>
      <c r="AT21" s="467"/>
      <c r="AU21" s="1162"/>
      <c r="AV21" s="1173"/>
      <c r="AW21" s="1174"/>
      <c r="AX21" s="1174"/>
      <c r="AY21" s="854">
        <v>3.5</v>
      </c>
      <c r="AZ21" s="940"/>
      <c r="BA21" s="490">
        <v>103.5</v>
      </c>
      <c r="BB21" s="467"/>
      <c r="BC21" s="1162"/>
      <c r="BD21" s="1173"/>
      <c r="BE21" s="939"/>
      <c r="BF21" s="939"/>
      <c r="BG21" s="854">
        <v>9.5</v>
      </c>
      <c r="BH21" s="939"/>
      <c r="BI21" s="490">
        <v>103.5</v>
      </c>
      <c r="BJ21" s="467"/>
      <c r="BK21" s="1162"/>
      <c r="BL21" s="1173"/>
      <c r="BM21" s="939"/>
      <c r="BN21" s="939"/>
      <c r="BO21" s="854">
        <v>9.5</v>
      </c>
      <c r="BP21" s="939"/>
      <c r="BQ21" s="490">
        <v>103.5</v>
      </c>
      <c r="BR21" s="467"/>
      <c r="BS21" s="1162"/>
      <c r="BT21" s="1173"/>
      <c r="BU21" s="939"/>
      <c r="BV21" s="939"/>
      <c r="BW21" s="854">
        <v>0</v>
      </c>
      <c r="BX21" s="940"/>
      <c r="BY21" s="490">
        <v>103.5</v>
      </c>
      <c r="BZ21" s="467"/>
      <c r="CA21" s="1162"/>
      <c r="CB21" s="1173"/>
      <c r="CC21" s="939"/>
      <c r="CD21" s="939"/>
      <c r="CE21" s="854">
        <v>2.2999999999999998</v>
      </c>
      <c r="CF21" s="939"/>
      <c r="CG21" s="490">
        <v>105.80000000000001</v>
      </c>
      <c r="CH21" s="467"/>
      <c r="CI21" s="1162"/>
      <c r="CJ21" s="1173"/>
      <c r="CK21" s="939"/>
      <c r="CL21" s="939"/>
      <c r="CM21" s="854">
        <v>4.8499999999999996</v>
      </c>
      <c r="CN21" s="939"/>
      <c r="CO21" s="490">
        <v>110.64999999999999</v>
      </c>
      <c r="CP21" s="467"/>
      <c r="CQ21" s="1162"/>
      <c r="CR21" s="1173"/>
      <c r="CS21" s="939"/>
      <c r="CT21" s="939"/>
      <c r="CU21" s="854">
        <v>7.15</v>
      </c>
      <c r="CV21" s="939"/>
      <c r="CW21" s="490">
        <v>110.64999999999999</v>
      </c>
      <c r="CX21" s="467"/>
      <c r="CY21" s="1162"/>
      <c r="CZ21" s="1173"/>
      <c r="DA21" s="939"/>
      <c r="DB21" s="939"/>
      <c r="DC21" s="854">
        <v>16.650000000000002</v>
      </c>
      <c r="DD21" s="939"/>
      <c r="DE21" s="490">
        <v>110.64999999999999</v>
      </c>
      <c r="DF21" s="467"/>
      <c r="DG21" s="1162"/>
      <c r="DH21" s="1173"/>
      <c r="DI21" s="939"/>
      <c r="DJ21" s="939"/>
      <c r="DK21" s="854">
        <v>5.0925000000000002</v>
      </c>
      <c r="DL21" s="939"/>
      <c r="DM21" s="490">
        <v>115.74250000000001</v>
      </c>
      <c r="DN21" s="467"/>
      <c r="DO21" s="1162"/>
      <c r="DP21" s="1173"/>
      <c r="DQ21" s="939"/>
      <c r="DR21" s="939"/>
      <c r="DS21" s="854">
        <v>0</v>
      </c>
      <c r="DT21" s="939"/>
      <c r="DU21" s="490">
        <v>115.74250000000001</v>
      </c>
      <c r="DV21" s="467"/>
      <c r="DW21" s="1162"/>
      <c r="DX21" s="1173"/>
      <c r="DY21" s="939"/>
      <c r="DZ21" s="939"/>
      <c r="EA21" s="854">
        <v>0</v>
      </c>
      <c r="EB21" s="261"/>
      <c r="EC21" s="260">
        <v>115.74250000000001</v>
      </c>
      <c r="ED21" s="471"/>
      <c r="EE21" s="323"/>
      <c r="EF21" s="1173"/>
      <c r="EG21" s="261"/>
      <c r="EH21" s="261"/>
      <c r="EI21" s="259">
        <v>5.0925000000000002</v>
      </c>
      <c r="EJ21" s="261"/>
      <c r="EK21" s="260">
        <v>115.74250000000001</v>
      </c>
      <c r="EL21" s="471"/>
      <c r="EM21" s="323"/>
      <c r="EN21" s="1173"/>
      <c r="EO21" s="261"/>
      <c r="EP21" s="261"/>
      <c r="EQ21" s="259">
        <v>12.2425</v>
      </c>
      <c r="ER21" s="261"/>
      <c r="ES21" s="260">
        <v>115.74250000000001</v>
      </c>
      <c r="ET21" s="471"/>
      <c r="EU21" s="323"/>
      <c r="EV21" s="1173"/>
      <c r="EW21" s="261"/>
      <c r="EX21" s="261"/>
      <c r="EY21" s="259">
        <v>21.7425</v>
      </c>
      <c r="EZ21" s="261"/>
      <c r="FA21" s="260">
        <v>115.74250000000001</v>
      </c>
      <c r="FB21" s="471"/>
    </row>
    <row r="22" spans="1:158" s="166" customFormat="1" ht="30" customHeight="1">
      <c r="A22" s="1732" t="s">
        <v>34</v>
      </c>
      <c r="B22" s="1732" t="s">
        <v>34</v>
      </c>
      <c r="C22" s="1736" t="s">
        <v>176</v>
      </c>
      <c r="D22" s="190" t="s">
        <v>189</v>
      </c>
      <c r="E22" s="885" t="s">
        <v>11</v>
      </c>
      <c r="F22" s="872">
        <v>1</v>
      </c>
      <c r="G22" s="872">
        <v>20</v>
      </c>
      <c r="H22" s="935"/>
      <c r="I22" s="472">
        <v>0.5</v>
      </c>
      <c r="J22" s="252">
        <v>0.03</v>
      </c>
      <c r="K22" s="695">
        <v>3</v>
      </c>
      <c r="L22" s="936"/>
      <c r="M22" s="289">
        <v>1</v>
      </c>
      <c r="N22" s="693">
        <v>1.47</v>
      </c>
      <c r="O22" s="936"/>
      <c r="P22" s="852">
        <v>0</v>
      </c>
      <c r="Q22" s="243">
        <v>0</v>
      </c>
      <c r="R22" s="412">
        <v>0</v>
      </c>
      <c r="S22" s="938"/>
      <c r="T22" s="852">
        <v>0</v>
      </c>
      <c r="U22" s="243">
        <v>0</v>
      </c>
      <c r="V22" s="412">
        <v>0</v>
      </c>
      <c r="W22" s="1159"/>
      <c r="X22" s="465">
        <v>0</v>
      </c>
      <c r="Y22" s="245">
        <v>0</v>
      </c>
      <c r="Z22" s="412">
        <v>0</v>
      </c>
      <c r="AA22" s="1159"/>
      <c r="AB22" s="465">
        <v>0</v>
      </c>
      <c r="AC22" s="245">
        <v>0</v>
      </c>
      <c r="AD22" s="245">
        <v>0</v>
      </c>
      <c r="AE22" s="1159"/>
      <c r="AF22" s="1148">
        <v>0</v>
      </c>
      <c r="AG22" s="1169">
        <v>1.5</v>
      </c>
      <c r="AH22" s="1169">
        <v>0</v>
      </c>
      <c r="AI22" s="245">
        <v>0</v>
      </c>
      <c r="AJ22" s="243">
        <v>0</v>
      </c>
      <c r="AK22" s="243">
        <v>0</v>
      </c>
      <c r="AL22" s="411" t="s">
        <v>279</v>
      </c>
      <c r="AM22" s="1162"/>
      <c r="AN22" s="1148">
        <v>0</v>
      </c>
      <c r="AO22" s="1169">
        <v>1.5</v>
      </c>
      <c r="AP22" s="1169">
        <v>0</v>
      </c>
      <c r="AQ22" s="245">
        <v>0</v>
      </c>
      <c r="AR22" s="243">
        <v>0</v>
      </c>
      <c r="AS22" s="243">
        <v>0</v>
      </c>
      <c r="AT22" s="411" t="s">
        <v>279</v>
      </c>
      <c r="AU22" s="1162"/>
      <c r="AV22" s="1148">
        <v>33.333333333333329</v>
      </c>
      <c r="AW22" s="1161">
        <v>1.5</v>
      </c>
      <c r="AX22" s="1161">
        <v>0.5</v>
      </c>
      <c r="AY22" s="412">
        <v>10</v>
      </c>
      <c r="AZ22" s="1170">
        <v>0.5</v>
      </c>
      <c r="BA22" s="243">
        <v>10</v>
      </c>
      <c r="BB22" s="411" t="s">
        <v>279</v>
      </c>
      <c r="BC22" s="1162"/>
      <c r="BD22" s="1148">
        <v>11.111111111111111</v>
      </c>
      <c r="BE22" s="245">
        <v>4.5</v>
      </c>
      <c r="BF22" s="245">
        <v>0.5</v>
      </c>
      <c r="BG22" s="245">
        <v>10</v>
      </c>
      <c r="BH22" s="245">
        <v>0.5</v>
      </c>
      <c r="BI22" s="245">
        <v>10</v>
      </c>
      <c r="BJ22" s="412" t="s">
        <v>279</v>
      </c>
      <c r="BK22" s="1162"/>
      <c r="BL22" s="1148">
        <v>0</v>
      </c>
      <c r="BM22" s="245"/>
      <c r="BN22" s="245">
        <v>0.5</v>
      </c>
      <c r="BO22" s="245">
        <v>10</v>
      </c>
      <c r="BP22" s="245">
        <v>0.5</v>
      </c>
      <c r="BQ22" s="245">
        <v>10</v>
      </c>
      <c r="BR22" s="411" t="s">
        <v>279</v>
      </c>
      <c r="BS22" s="1162"/>
      <c r="BT22" s="1148">
        <v>6.25</v>
      </c>
      <c r="BU22" s="1161">
        <v>0.16</v>
      </c>
      <c r="BV22" s="1161">
        <v>0.01</v>
      </c>
      <c r="BW22" s="412">
        <v>0.2</v>
      </c>
      <c r="BX22" s="1170">
        <v>0.51</v>
      </c>
      <c r="BY22" s="243">
        <v>10.199999999999999</v>
      </c>
      <c r="BZ22" s="411" t="s">
        <v>279</v>
      </c>
      <c r="CA22" s="1162"/>
      <c r="CB22" s="1148">
        <v>30.612244897959183</v>
      </c>
      <c r="CC22" s="1169">
        <v>0.16333333333333333</v>
      </c>
      <c r="CD22" s="1161">
        <v>0.05</v>
      </c>
      <c r="CE22" s="245">
        <v>1</v>
      </c>
      <c r="CF22" s="245">
        <v>0.56000000000000005</v>
      </c>
      <c r="CG22" s="243">
        <v>11.200000000000001</v>
      </c>
      <c r="CH22" s="411" t="s">
        <v>279</v>
      </c>
      <c r="CI22" s="1162"/>
      <c r="CJ22" s="1148">
        <v>97.959183673469397</v>
      </c>
      <c r="CK22" s="1161">
        <v>0.16333333333333333</v>
      </c>
      <c r="CL22" s="1161">
        <v>0.16</v>
      </c>
      <c r="CM22" s="245">
        <v>3.2</v>
      </c>
      <c r="CN22" s="245">
        <v>0.72000000000000008</v>
      </c>
      <c r="CO22" s="243">
        <v>14.400000000000002</v>
      </c>
      <c r="CP22" s="411" t="s">
        <v>279</v>
      </c>
      <c r="CQ22" s="1162"/>
      <c r="CR22" s="1148">
        <v>45.205479452054789</v>
      </c>
      <c r="CS22" s="245">
        <v>0.48666666666666669</v>
      </c>
      <c r="CT22" s="245">
        <v>0.22</v>
      </c>
      <c r="CU22" s="245">
        <v>4.4000000000000004</v>
      </c>
      <c r="CV22" s="245">
        <v>0.72000000000000008</v>
      </c>
      <c r="CW22" s="245">
        <v>14.400000000000002</v>
      </c>
      <c r="CX22" s="412" t="s">
        <v>279</v>
      </c>
      <c r="CY22" s="1162"/>
      <c r="CZ22" s="1148">
        <v>0</v>
      </c>
      <c r="DA22" s="245"/>
      <c r="DB22" s="245">
        <v>0.72</v>
      </c>
      <c r="DC22" s="245">
        <v>14.399999999999999</v>
      </c>
      <c r="DD22" s="245">
        <v>0.72000000000000008</v>
      </c>
      <c r="DE22" s="245">
        <v>14.400000000000002</v>
      </c>
      <c r="DF22" s="411" t="s">
        <v>279</v>
      </c>
      <c r="DG22" s="1162"/>
      <c r="DH22" s="1148">
        <v>102.85714285714288</v>
      </c>
      <c r="DI22" s="1161">
        <v>0.16333333333333333</v>
      </c>
      <c r="DJ22" s="1161">
        <v>0.16800000000000001</v>
      </c>
      <c r="DK22" s="245">
        <v>3.3600000000000003</v>
      </c>
      <c r="DL22" s="245">
        <v>0.88800000000000012</v>
      </c>
      <c r="DM22" s="243">
        <v>17.760000000000002</v>
      </c>
      <c r="DN22" s="411" t="s">
        <v>279</v>
      </c>
      <c r="DO22" s="1162"/>
      <c r="DP22" s="1148">
        <v>0</v>
      </c>
      <c r="DQ22" s="1161">
        <v>0.16333333333333333</v>
      </c>
      <c r="DR22" s="1161"/>
      <c r="DS22" s="245">
        <v>0</v>
      </c>
      <c r="DT22" s="245">
        <v>0.88800000000000012</v>
      </c>
      <c r="DU22" s="243">
        <v>17.760000000000002</v>
      </c>
      <c r="DV22" s="411" t="s">
        <v>279</v>
      </c>
      <c r="DW22" s="1162"/>
      <c r="DX22" s="1148">
        <v>0</v>
      </c>
      <c r="DY22" s="1161">
        <v>0.16333333333333333</v>
      </c>
      <c r="DZ22" s="1161"/>
      <c r="EA22" s="245">
        <v>0</v>
      </c>
      <c r="EB22" s="245">
        <v>0.88800000000000012</v>
      </c>
      <c r="EC22" s="290">
        <v>17.760000000000002</v>
      </c>
      <c r="ED22" s="1168" t="s">
        <v>279</v>
      </c>
      <c r="EE22" s="323"/>
      <c r="EF22" s="1148">
        <v>34.285714285714285</v>
      </c>
      <c r="EG22" s="245">
        <v>0.49</v>
      </c>
      <c r="EH22" s="245">
        <v>0.16800000000000001</v>
      </c>
      <c r="EI22" s="252">
        <v>3.3600000000000003</v>
      </c>
      <c r="EJ22" s="245">
        <v>0.88800000000000012</v>
      </c>
      <c r="EK22" s="295">
        <v>17.760000000000002</v>
      </c>
      <c r="EL22" s="246" t="s">
        <v>279</v>
      </c>
      <c r="EM22" s="323"/>
      <c r="EN22" s="1148">
        <v>39.726962457337883</v>
      </c>
      <c r="EO22" s="245">
        <v>0.97666666666666668</v>
      </c>
      <c r="EP22" s="245">
        <v>0.38800000000000001</v>
      </c>
      <c r="EQ22" s="252">
        <v>7.76</v>
      </c>
      <c r="ER22" s="245">
        <v>0.88800000000000012</v>
      </c>
      <c r="ES22" s="295">
        <v>17.760000000000002</v>
      </c>
      <c r="ET22" s="246" t="s">
        <v>279</v>
      </c>
      <c r="EU22" s="323"/>
      <c r="EV22" s="1148">
        <v>90.921501706484648</v>
      </c>
      <c r="EW22" s="245">
        <v>0.97666666666666668</v>
      </c>
      <c r="EX22" s="245">
        <v>0.88800000000000001</v>
      </c>
      <c r="EY22" s="252">
        <v>17.760000000000002</v>
      </c>
      <c r="EZ22" s="245">
        <v>0.88800000000000012</v>
      </c>
      <c r="FA22" s="295">
        <v>17.760000000000002</v>
      </c>
      <c r="FB22" s="1168" t="s">
        <v>279</v>
      </c>
    </row>
    <row r="23" spans="1:158" s="166" customFormat="1" ht="30" customHeight="1">
      <c r="A23" s="1733"/>
      <c r="B23" s="1733"/>
      <c r="C23" s="1737"/>
      <c r="D23" s="191" t="s">
        <v>66</v>
      </c>
      <c r="E23" s="886" t="s">
        <v>11</v>
      </c>
      <c r="F23" s="874">
        <v>1</v>
      </c>
      <c r="G23" s="874">
        <v>20</v>
      </c>
      <c r="H23" s="935"/>
      <c r="I23" s="469">
        <v>0.5</v>
      </c>
      <c r="J23" s="252">
        <v>0.03</v>
      </c>
      <c r="K23" s="694">
        <v>3</v>
      </c>
      <c r="L23" s="936"/>
      <c r="M23" s="294">
        <v>1</v>
      </c>
      <c r="N23" s="694">
        <v>1.47</v>
      </c>
      <c r="O23" s="936"/>
      <c r="P23" s="465">
        <v>0</v>
      </c>
      <c r="Q23" s="245">
        <v>0</v>
      </c>
      <c r="R23" s="412">
        <v>0</v>
      </c>
      <c r="S23" s="938"/>
      <c r="T23" s="465">
        <v>0</v>
      </c>
      <c r="U23" s="245">
        <v>0</v>
      </c>
      <c r="V23" s="412">
        <v>0</v>
      </c>
      <c r="W23" s="1159"/>
      <c r="X23" s="465">
        <v>0</v>
      </c>
      <c r="Y23" s="245">
        <v>0</v>
      </c>
      <c r="Z23" s="412">
        <v>0</v>
      </c>
      <c r="AA23" s="1159"/>
      <c r="AB23" s="465">
        <v>0</v>
      </c>
      <c r="AC23" s="245">
        <v>0</v>
      </c>
      <c r="AD23" s="245">
        <v>0</v>
      </c>
      <c r="AE23" s="1159"/>
      <c r="AF23" s="1148">
        <v>0</v>
      </c>
      <c r="AG23" s="1169">
        <v>0.245</v>
      </c>
      <c r="AH23" s="1169">
        <v>0</v>
      </c>
      <c r="AI23" s="245">
        <v>0</v>
      </c>
      <c r="AJ23" s="245">
        <v>0</v>
      </c>
      <c r="AK23" s="245">
        <v>0</v>
      </c>
      <c r="AL23" s="412" t="s">
        <v>279</v>
      </c>
      <c r="AM23" s="1162"/>
      <c r="AN23" s="1148">
        <v>0</v>
      </c>
      <c r="AO23" s="1169">
        <v>0.245</v>
      </c>
      <c r="AP23" s="1169">
        <v>0</v>
      </c>
      <c r="AQ23" s="245">
        <v>0</v>
      </c>
      <c r="AR23" s="245">
        <v>0</v>
      </c>
      <c r="AS23" s="245">
        <v>0</v>
      </c>
      <c r="AT23" s="412" t="s">
        <v>279</v>
      </c>
      <c r="AU23" s="1162"/>
      <c r="AV23" s="1148">
        <v>204.08163265306123</v>
      </c>
      <c r="AW23" s="1161">
        <v>0.245</v>
      </c>
      <c r="AX23" s="1161">
        <v>0.5</v>
      </c>
      <c r="AY23" s="412">
        <v>10</v>
      </c>
      <c r="AZ23" s="1170">
        <v>0.5</v>
      </c>
      <c r="BA23" s="245">
        <v>10</v>
      </c>
      <c r="BB23" s="412" t="s">
        <v>279</v>
      </c>
      <c r="BC23" s="1162"/>
      <c r="BD23" s="1148">
        <v>68.027210884353735</v>
      </c>
      <c r="BE23" s="245">
        <v>0.73499999999999999</v>
      </c>
      <c r="BF23" s="245">
        <v>0.5</v>
      </c>
      <c r="BG23" s="245">
        <v>10</v>
      </c>
      <c r="BH23" s="245">
        <v>0.5</v>
      </c>
      <c r="BI23" s="245">
        <v>10</v>
      </c>
      <c r="BJ23" s="412" t="s">
        <v>279</v>
      </c>
      <c r="BK23" s="1162"/>
      <c r="BL23" s="1148">
        <v>0</v>
      </c>
      <c r="BM23" s="245"/>
      <c r="BN23" s="245">
        <v>0.5</v>
      </c>
      <c r="BO23" s="245">
        <v>10</v>
      </c>
      <c r="BP23" s="245">
        <v>0.5</v>
      </c>
      <c r="BQ23" s="245">
        <v>10</v>
      </c>
      <c r="BR23" s="412" t="s">
        <v>279</v>
      </c>
      <c r="BS23" s="1162"/>
      <c r="BT23" s="1148">
        <v>0</v>
      </c>
      <c r="BU23" s="1161">
        <v>0.245</v>
      </c>
      <c r="BV23" s="1161">
        <v>0</v>
      </c>
      <c r="BW23" s="412">
        <v>0</v>
      </c>
      <c r="BX23" s="1170">
        <v>0.5</v>
      </c>
      <c r="BY23" s="245">
        <v>10</v>
      </c>
      <c r="BZ23" s="412" t="s">
        <v>279</v>
      </c>
      <c r="CA23" s="1162"/>
      <c r="CB23" s="1148">
        <v>30.612244897959183</v>
      </c>
      <c r="CC23" s="1169">
        <v>0.16333333333333333</v>
      </c>
      <c r="CD23" s="1161">
        <v>0.05</v>
      </c>
      <c r="CE23" s="245">
        <v>1</v>
      </c>
      <c r="CF23" s="245">
        <v>0.55000000000000004</v>
      </c>
      <c r="CG23" s="245">
        <v>11</v>
      </c>
      <c r="CH23" s="412" t="s">
        <v>279</v>
      </c>
      <c r="CI23" s="1162"/>
      <c r="CJ23" s="1148">
        <v>97.959183673469397</v>
      </c>
      <c r="CK23" s="1161">
        <v>0.16333333333333333</v>
      </c>
      <c r="CL23" s="1161">
        <v>0.16</v>
      </c>
      <c r="CM23" s="245">
        <v>3.2</v>
      </c>
      <c r="CN23" s="245">
        <v>0.71000000000000008</v>
      </c>
      <c r="CO23" s="245">
        <v>14.200000000000001</v>
      </c>
      <c r="CP23" s="412" t="s">
        <v>279</v>
      </c>
      <c r="CQ23" s="1162"/>
      <c r="CR23" s="1148">
        <v>36.734693877551024</v>
      </c>
      <c r="CS23" s="245">
        <v>0.57166666666666666</v>
      </c>
      <c r="CT23" s="245">
        <v>0.21000000000000002</v>
      </c>
      <c r="CU23" s="245">
        <v>4.2</v>
      </c>
      <c r="CV23" s="245">
        <v>0.71000000000000008</v>
      </c>
      <c r="CW23" s="245">
        <v>14.200000000000001</v>
      </c>
      <c r="CX23" s="412" t="s">
        <v>279</v>
      </c>
      <c r="CY23" s="1162"/>
      <c r="CZ23" s="1148">
        <v>0</v>
      </c>
      <c r="DA23" s="245"/>
      <c r="DB23" s="245">
        <v>0.71</v>
      </c>
      <c r="DC23" s="245">
        <v>14.2</v>
      </c>
      <c r="DD23" s="245">
        <v>0.71000000000000008</v>
      </c>
      <c r="DE23" s="245">
        <v>14.200000000000001</v>
      </c>
      <c r="DF23" s="412" t="s">
        <v>279</v>
      </c>
      <c r="DG23" s="1162"/>
      <c r="DH23" s="1148">
        <v>102.85714285714288</v>
      </c>
      <c r="DI23" s="1161">
        <v>0.16333333333333333</v>
      </c>
      <c r="DJ23" s="1161">
        <v>0.16800000000000001</v>
      </c>
      <c r="DK23" s="245">
        <v>3.3600000000000003</v>
      </c>
      <c r="DL23" s="245">
        <v>0.87800000000000011</v>
      </c>
      <c r="DM23" s="245">
        <v>17.560000000000002</v>
      </c>
      <c r="DN23" s="412" t="s">
        <v>279</v>
      </c>
      <c r="DO23" s="1162"/>
      <c r="DP23" s="1148">
        <v>0</v>
      </c>
      <c r="DQ23" s="1161">
        <v>0.16333333333333333</v>
      </c>
      <c r="DR23" s="1161"/>
      <c r="DS23" s="245">
        <v>0</v>
      </c>
      <c r="DT23" s="245">
        <v>0.87800000000000011</v>
      </c>
      <c r="DU23" s="245">
        <v>17.560000000000002</v>
      </c>
      <c r="DV23" s="412" t="s">
        <v>279</v>
      </c>
      <c r="DW23" s="1162"/>
      <c r="DX23" s="1148">
        <v>0</v>
      </c>
      <c r="DY23" s="1161">
        <v>0.16333333333333333</v>
      </c>
      <c r="DZ23" s="1161"/>
      <c r="EA23" s="245">
        <v>0</v>
      </c>
      <c r="EB23" s="245">
        <v>0.87800000000000011</v>
      </c>
      <c r="EC23" s="295">
        <v>17.560000000000002</v>
      </c>
      <c r="ED23" s="1171" t="s">
        <v>279</v>
      </c>
      <c r="EE23" s="323"/>
      <c r="EF23" s="1148">
        <v>34.285714285714285</v>
      </c>
      <c r="EG23" s="245">
        <v>0.49</v>
      </c>
      <c r="EH23" s="245">
        <v>0.16800000000000001</v>
      </c>
      <c r="EI23" s="252">
        <v>3.3600000000000003</v>
      </c>
      <c r="EJ23" s="245">
        <v>0.87800000000000011</v>
      </c>
      <c r="EK23" s="295">
        <v>17.560000000000002</v>
      </c>
      <c r="EL23" s="246" t="s">
        <v>279</v>
      </c>
      <c r="EM23" s="323"/>
      <c r="EN23" s="1148">
        <v>35.604395604395613</v>
      </c>
      <c r="EO23" s="245">
        <v>1.0616666666666665</v>
      </c>
      <c r="EP23" s="245">
        <v>0.378</v>
      </c>
      <c r="EQ23" s="252">
        <v>7.5600000000000005</v>
      </c>
      <c r="ER23" s="245">
        <v>0.87800000000000011</v>
      </c>
      <c r="ES23" s="295">
        <v>17.560000000000002</v>
      </c>
      <c r="ET23" s="246" t="s">
        <v>279</v>
      </c>
      <c r="EU23" s="323"/>
      <c r="EV23" s="1148">
        <v>82.700156985871288</v>
      </c>
      <c r="EW23" s="245">
        <v>1.0616666666666665</v>
      </c>
      <c r="EX23" s="245">
        <v>0.878</v>
      </c>
      <c r="EY23" s="252">
        <v>17.559999999999999</v>
      </c>
      <c r="EZ23" s="245">
        <v>0.87800000000000011</v>
      </c>
      <c r="FA23" s="295">
        <v>17.560000000000002</v>
      </c>
      <c r="FB23" s="1171" t="s">
        <v>279</v>
      </c>
    </row>
    <row r="24" spans="1:158" s="166" customFormat="1" ht="30" customHeight="1">
      <c r="A24" s="1733"/>
      <c r="B24" s="1733"/>
      <c r="C24" s="1737"/>
      <c r="D24" s="191" t="s">
        <v>67</v>
      </c>
      <c r="E24" s="886" t="s">
        <v>11</v>
      </c>
      <c r="F24" s="873">
        <v>1</v>
      </c>
      <c r="G24" s="874">
        <v>20</v>
      </c>
      <c r="H24" s="935"/>
      <c r="I24" s="469">
        <v>0.5</v>
      </c>
      <c r="J24" s="252">
        <v>3.5000000000000003E-2</v>
      </c>
      <c r="K24" s="694">
        <v>3.5</v>
      </c>
      <c r="L24" s="936"/>
      <c r="M24" s="294">
        <v>0.5</v>
      </c>
      <c r="N24" s="694">
        <v>0.96499999999999997</v>
      </c>
      <c r="O24" s="936"/>
      <c r="P24" s="465">
        <v>0</v>
      </c>
      <c r="Q24" s="245">
        <v>0</v>
      </c>
      <c r="R24" s="412">
        <v>0</v>
      </c>
      <c r="S24" s="938"/>
      <c r="T24" s="465">
        <v>0</v>
      </c>
      <c r="U24" s="245">
        <v>0</v>
      </c>
      <c r="V24" s="412">
        <v>0</v>
      </c>
      <c r="W24" s="1159"/>
      <c r="X24" s="465">
        <v>0</v>
      </c>
      <c r="Y24" s="245">
        <v>0</v>
      </c>
      <c r="Z24" s="412">
        <v>0</v>
      </c>
      <c r="AA24" s="1159"/>
      <c r="AB24" s="465">
        <v>0</v>
      </c>
      <c r="AC24" s="245">
        <v>0</v>
      </c>
      <c r="AD24" s="245">
        <v>0</v>
      </c>
      <c r="AE24" s="1159"/>
      <c r="AF24" s="1148">
        <v>0</v>
      </c>
      <c r="AG24" s="1169">
        <v>0.24124999999999999</v>
      </c>
      <c r="AH24" s="1169">
        <v>0</v>
      </c>
      <c r="AI24" s="245">
        <v>0</v>
      </c>
      <c r="AJ24" s="245">
        <v>0</v>
      </c>
      <c r="AK24" s="245">
        <v>0</v>
      </c>
      <c r="AL24" s="412" t="s">
        <v>279</v>
      </c>
      <c r="AM24" s="1162"/>
      <c r="AN24" s="1148">
        <v>0</v>
      </c>
      <c r="AO24" s="1169">
        <v>0.24124999999999999</v>
      </c>
      <c r="AP24" s="1169">
        <v>0</v>
      </c>
      <c r="AQ24" s="245">
        <v>0</v>
      </c>
      <c r="AR24" s="245">
        <v>0</v>
      </c>
      <c r="AS24" s="245">
        <v>0</v>
      </c>
      <c r="AT24" s="412" t="s">
        <v>279</v>
      </c>
      <c r="AU24" s="1162"/>
      <c r="AV24" s="1148">
        <v>207.25388601036272</v>
      </c>
      <c r="AW24" s="1161">
        <v>0.24124999999999999</v>
      </c>
      <c r="AX24" s="1161">
        <v>0.5</v>
      </c>
      <c r="AY24" s="412">
        <v>10</v>
      </c>
      <c r="AZ24" s="1170">
        <v>0.5</v>
      </c>
      <c r="BA24" s="245">
        <v>10</v>
      </c>
      <c r="BB24" s="412" t="s">
        <v>279</v>
      </c>
      <c r="BC24" s="1162"/>
      <c r="BD24" s="1148">
        <v>69.084628670120892</v>
      </c>
      <c r="BE24" s="245">
        <v>0.72375</v>
      </c>
      <c r="BF24" s="245">
        <v>0.5</v>
      </c>
      <c r="BG24" s="245">
        <v>10</v>
      </c>
      <c r="BH24" s="245">
        <v>0.5</v>
      </c>
      <c r="BI24" s="245">
        <v>10</v>
      </c>
      <c r="BJ24" s="412" t="s">
        <v>279</v>
      </c>
      <c r="BK24" s="1162"/>
      <c r="BL24" s="1148">
        <v>0</v>
      </c>
      <c r="BM24" s="245"/>
      <c r="BN24" s="245">
        <v>0.5</v>
      </c>
      <c r="BO24" s="245">
        <v>10</v>
      </c>
      <c r="BP24" s="245">
        <v>0.5</v>
      </c>
      <c r="BQ24" s="245">
        <v>10</v>
      </c>
      <c r="BR24" s="412" t="s">
        <v>279</v>
      </c>
      <c r="BS24" s="1162"/>
      <c r="BT24" s="1148">
        <v>9.0909090909090917</v>
      </c>
      <c r="BU24" s="1161">
        <v>0.11</v>
      </c>
      <c r="BV24" s="1161">
        <v>0.01</v>
      </c>
      <c r="BW24" s="412">
        <v>0.2</v>
      </c>
      <c r="BX24" s="1170">
        <v>0.51</v>
      </c>
      <c r="BY24" s="245">
        <v>10.199999999999999</v>
      </c>
      <c r="BZ24" s="412" t="s">
        <v>279</v>
      </c>
      <c r="CA24" s="1162"/>
      <c r="CB24" s="1148">
        <v>55.958549222797927</v>
      </c>
      <c r="CC24" s="1169">
        <v>0.10722222222222222</v>
      </c>
      <c r="CD24" s="1161">
        <v>0.06</v>
      </c>
      <c r="CE24" s="245">
        <v>1.2</v>
      </c>
      <c r="CF24" s="245">
        <v>0.57000000000000006</v>
      </c>
      <c r="CG24" s="245">
        <v>11.400000000000002</v>
      </c>
      <c r="CH24" s="412" t="s">
        <v>279</v>
      </c>
      <c r="CI24" s="1162"/>
      <c r="CJ24" s="1148">
        <v>102.59067357512954</v>
      </c>
      <c r="CK24" s="1161">
        <v>0.10722222222222222</v>
      </c>
      <c r="CL24" s="1161">
        <v>0.11</v>
      </c>
      <c r="CM24" s="245">
        <v>2.2000000000000002</v>
      </c>
      <c r="CN24" s="245">
        <v>0.68</v>
      </c>
      <c r="CO24" s="245">
        <v>13.600000000000001</v>
      </c>
      <c r="CP24" s="412" t="s">
        <v>279</v>
      </c>
      <c r="CQ24" s="1162"/>
      <c r="CR24" s="1148">
        <v>55.479452054794521</v>
      </c>
      <c r="CS24" s="245">
        <v>0.32444444444444442</v>
      </c>
      <c r="CT24" s="245">
        <v>0.18</v>
      </c>
      <c r="CU24" s="245">
        <v>3.5999999999999996</v>
      </c>
      <c r="CV24" s="245">
        <v>0.68</v>
      </c>
      <c r="CW24" s="245">
        <v>13.600000000000001</v>
      </c>
      <c r="CX24" s="412" t="s">
        <v>279</v>
      </c>
      <c r="CY24" s="1162"/>
      <c r="CZ24" s="1148">
        <v>0</v>
      </c>
      <c r="DA24" s="245"/>
      <c r="DB24" s="245">
        <v>0.67999999999999994</v>
      </c>
      <c r="DC24" s="245">
        <v>13.599999999999998</v>
      </c>
      <c r="DD24" s="245">
        <v>0.68</v>
      </c>
      <c r="DE24" s="245">
        <v>13.600000000000001</v>
      </c>
      <c r="DF24" s="412" t="s">
        <v>279</v>
      </c>
      <c r="DG24" s="1162"/>
      <c r="DH24" s="1148">
        <v>107.72020725388603</v>
      </c>
      <c r="DI24" s="1161">
        <v>0.10722222222222222</v>
      </c>
      <c r="DJ24" s="1161">
        <v>0.11550000000000001</v>
      </c>
      <c r="DK24" s="245">
        <v>2.31</v>
      </c>
      <c r="DL24" s="245">
        <v>0.7955000000000001</v>
      </c>
      <c r="DM24" s="245">
        <v>15.910000000000002</v>
      </c>
      <c r="DN24" s="412" t="s">
        <v>279</v>
      </c>
      <c r="DO24" s="1162"/>
      <c r="DP24" s="1148">
        <v>0</v>
      </c>
      <c r="DQ24" s="1161">
        <v>0.10722222222222222</v>
      </c>
      <c r="DR24" s="1161"/>
      <c r="DS24" s="245">
        <v>0</v>
      </c>
      <c r="DT24" s="245">
        <v>0.7955000000000001</v>
      </c>
      <c r="DU24" s="245">
        <v>15.910000000000002</v>
      </c>
      <c r="DV24" s="412" t="s">
        <v>279</v>
      </c>
      <c r="DW24" s="1162"/>
      <c r="DX24" s="1148">
        <v>0</v>
      </c>
      <c r="DY24" s="1161">
        <v>0.10722222222222222</v>
      </c>
      <c r="DZ24" s="1161"/>
      <c r="EA24" s="245">
        <v>0</v>
      </c>
      <c r="EB24" s="245">
        <v>0.7955000000000001</v>
      </c>
      <c r="EC24" s="295">
        <v>15.910000000000002</v>
      </c>
      <c r="ED24" s="1171" t="s">
        <v>279</v>
      </c>
      <c r="EE24" s="323"/>
      <c r="EF24" s="1148">
        <v>35.906735751295336</v>
      </c>
      <c r="EG24" s="245">
        <v>0.32166666666666666</v>
      </c>
      <c r="EH24" s="245">
        <v>0.11550000000000001</v>
      </c>
      <c r="EI24" s="252">
        <v>2.31</v>
      </c>
      <c r="EJ24" s="245">
        <v>0.7955000000000001</v>
      </c>
      <c r="EK24" s="295">
        <v>15.910000000000002</v>
      </c>
      <c r="EL24" s="246" t="s">
        <v>279</v>
      </c>
      <c r="EM24" s="323"/>
      <c r="EN24" s="1148">
        <v>45.735167669819432</v>
      </c>
      <c r="EO24" s="245">
        <v>0.64611111111111108</v>
      </c>
      <c r="EP24" s="245">
        <v>0.29549999999999998</v>
      </c>
      <c r="EQ24" s="252">
        <v>5.91</v>
      </c>
      <c r="ER24" s="245">
        <v>0.7955000000000001</v>
      </c>
      <c r="ES24" s="295">
        <v>15.910000000000002</v>
      </c>
      <c r="ET24" s="246" t="s">
        <v>279</v>
      </c>
      <c r="EU24" s="323"/>
      <c r="EV24" s="1148">
        <v>123.12123817712812</v>
      </c>
      <c r="EW24" s="245">
        <v>0.64611111111111108</v>
      </c>
      <c r="EX24" s="245">
        <v>0.79549999999999998</v>
      </c>
      <c r="EY24" s="252">
        <v>15.91</v>
      </c>
      <c r="EZ24" s="245">
        <v>0.7955000000000001</v>
      </c>
      <c r="FA24" s="295">
        <v>15.910000000000002</v>
      </c>
      <c r="FB24" s="1171" t="s">
        <v>279</v>
      </c>
    </row>
    <row r="25" spans="1:158" s="166" customFormat="1" ht="30" customHeight="1">
      <c r="A25" s="1733"/>
      <c r="B25" s="1733"/>
      <c r="C25" s="1737"/>
      <c r="D25" s="191" t="s">
        <v>706</v>
      </c>
      <c r="E25" s="886" t="s">
        <v>74</v>
      </c>
      <c r="F25" s="873">
        <v>50</v>
      </c>
      <c r="G25" s="874">
        <v>20</v>
      </c>
      <c r="H25" s="935"/>
      <c r="I25" s="469">
        <v>0.5</v>
      </c>
      <c r="J25" s="252">
        <v>0.5</v>
      </c>
      <c r="K25" s="694">
        <v>1</v>
      </c>
      <c r="L25" s="936"/>
      <c r="M25" s="294">
        <v>0</v>
      </c>
      <c r="N25" s="694">
        <v>0</v>
      </c>
      <c r="O25" s="936"/>
      <c r="P25" s="465">
        <v>0</v>
      </c>
      <c r="Q25" s="245">
        <v>0</v>
      </c>
      <c r="R25" s="412">
        <v>0</v>
      </c>
      <c r="S25" s="938"/>
      <c r="T25" s="465">
        <v>0</v>
      </c>
      <c r="U25" s="245">
        <v>0</v>
      </c>
      <c r="V25" s="412">
        <v>0</v>
      </c>
      <c r="W25" s="1159"/>
      <c r="X25" s="465">
        <v>0</v>
      </c>
      <c r="Y25" s="245">
        <v>0</v>
      </c>
      <c r="Z25" s="412">
        <v>0</v>
      </c>
      <c r="AA25" s="1159"/>
      <c r="AB25" s="465">
        <v>0</v>
      </c>
      <c r="AC25" s="245">
        <v>0</v>
      </c>
      <c r="AD25" s="245">
        <v>0</v>
      </c>
      <c r="AE25" s="1159"/>
      <c r="AF25" s="1148">
        <v>0</v>
      </c>
      <c r="AG25" s="1169">
        <v>0</v>
      </c>
      <c r="AH25" s="1169">
        <v>0</v>
      </c>
      <c r="AI25" s="245">
        <v>0</v>
      </c>
      <c r="AJ25" s="245">
        <v>0</v>
      </c>
      <c r="AK25" s="245">
        <v>0</v>
      </c>
      <c r="AL25" s="412" t="s">
        <v>279</v>
      </c>
      <c r="AM25" s="1162"/>
      <c r="AN25" s="1148">
        <v>0</v>
      </c>
      <c r="AO25" s="1169">
        <v>0</v>
      </c>
      <c r="AP25" s="1169">
        <v>0</v>
      </c>
      <c r="AQ25" s="245">
        <v>0</v>
      </c>
      <c r="AR25" s="245">
        <v>0</v>
      </c>
      <c r="AS25" s="245">
        <v>0</v>
      </c>
      <c r="AT25" s="412" t="s">
        <v>279</v>
      </c>
      <c r="AU25" s="1162"/>
      <c r="AV25" s="1148">
        <v>0</v>
      </c>
      <c r="AW25" s="1161">
        <v>0</v>
      </c>
      <c r="AX25" s="1161">
        <v>0</v>
      </c>
      <c r="AY25" s="412">
        <v>0</v>
      </c>
      <c r="AZ25" s="1170">
        <v>0</v>
      </c>
      <c r="BA25" s="245">
        <v>0</v>
      </c>
      <c r="BB25" s="412" t="s">
        <v>279</v>
      </c>
      <c r="BC25" s="1162"/>
      <c r="BD25" s="1148">
        <v>0</v>
      </c>
      <c r="BE25" s="245">
        <v>0</v>
      </c>
      <c r="BF25" s="245">
        <v>0</v>
      </c>
      <c r="BG25" s="245">
        <v>0</v>
      </c>
      <c r="BH25" s="245">
        <v>0</v>
      </c>
      <c r="BI25" s="245">
        <v>0</v>
      </c>
      <c r="BJ25" s="412" t="s">
        <v>279</v>
      </c>
      <c r="BK25" s="1162"/>
      <c r="BL25" s="1148">
        <v>0</v>
      </c>
      <c r="BM25" s="245"/>
      <c r="BN25" s="245">
        <v>0</v>
      </c>
      <c r="BO25" s="245">
        <v>0</v>
      </c>
      <c r="BP25" s="245">
        <v>0</v>
      </c>
      <c r="BQ25" s="245">
        <v>0</v>
      </c>
      <c r="BR25" s="412" t="s">
        <v>279</v>
      </c>
      <c r="BS25" s="1162"/>
      <c r="BT25" s="1148">
        <v>0</v>
      </c>
      <c r="BU25" s="1161">
        <v>0</v>
      </c>
      <c r="BV25" s="1161">
        <v>0</v>
      </c>
      <c r="BW25" s="412">
        <v>0</v>
      </c>
      <c r="BX25" s="1170">
        <v>0</v>
      </c>
      <c r="BY25" s="245">
        <v>0</v>
      </c>
      <c r="BZ25" s="412" t="s">
        <v>279</v>
      </c>
      <c r="CA25" s="1162"/>
      <c r="CB25" s="1148">
        <v>0</v>
      </c>
      <c r="CC25" s="1161">
        <v>0</v>
      </c>
      <c r="CD25" s="1161">
        <v>0</v>
      </c>
      <c r="CE25" s="245">
        <v>0</v>
      </c>
      <c r="CF25" s="245">
        <v>0</v>
      </c>
      <c r="CG25" s="245">
        <v>0</v>
      </c>
      <c r="CH25" s="412" t="s">
        <v>279</v>
      </c>
      <c r="CI25" s="1162"/>
      <c r="CJ25" s="1148">
        <v>0</v>
      </c>
      <c r="CK25" s="1161">
        <v>0</v>
      </c>
      <c r="CL25" s="1161">
        <v>0</v>
      </c>
      <c r="CM25" s="245">
        <v>0</v>
      </c>
      <c r="CN25" s="245">
        <v>0</v>
      </c>
      <c r="CO25" s="245">
        <v>0</v>
      </c>
      <c r="CP25" s="412" t="s">
        <v>279</v>
      </c>
      <c r="CQ25" s="1162"/>
      <c r="CR25" s="1148">
        <v>0</v>
      </c>
      <c r="CS25" s="245">
        <v>0</v>
      </c>
      <c r="CT25" s="245">
        <v>0</v>
      </c>
      <c r="CU25" s="245">
        <v>0</v>
      </c>
      <c r="CV25" s="245">
        <v>0</v>
      </c>
      <c r="CW25" s="245">
        <v>0</v>
      </c>
      <c r="CX25" s="412" t="s">
        <v>279</v>
      </c>
      <c r="CY25" s="1162"/>
      <c r="CZ25" s="1148">
        <v>0</v>
      </c>
      <c r="DA25" s="245"/>
      <c r="DB25" s="245">
        <v>0</v>
      </c>
      <c r="DC25" s="245">
        <v>0</v>
      </c>
      <c r="DD25" s="245">
        <v>0</v>
      </c>
      <c r="DE25" s="245">
        <v>0</v>
      </c>
      <c r="DF25" s="412" t="s">
        <v>279</v>
      </c>
      <c r="DG25" s="1162"/>
      <c r="DH25" s="1148">
        <v>0</v>
      </c>
      <c r="DI25" s="1161">
        <v>0</v>
      </c>
      <c r="DJ25" s="1161">
        <v>0</v>
      </c>
      <c r="DK25" s="245">
        <v>0</v>
      </c>
      <c r="DL25" s="245">
        <v>0</v>
      </c>
      <c r="DM25" s="245">
        <v>0</v>
      </c>
      <c r="DN25" s="412" t="s">
        <v>279</v>
      </c>
      <c r="DO25" s="1162"/>
      <c r="DP25" s="1148">
        <v>0</v>
      </c>
      <c r="DQ25" s="1161">
        <v>0</v>
      </c>
      <c r="DR25" s="1161"/>
      <c r="DS25" s="245">
        <v>0</v>
      </c>
      <c r="DT25" s="245">
        <v>0</v>
      </c>
      <c r="DU25" s="245">
        <v>0</v>
      </c>
      <c r="DV25" s="412" t="s">
        <v>279</v>
      </c>
      <c r="DW25" s="1162"/>
      <c r="DX25" s="1148">
        <v>0</v>
      </c>
      <c r="DY25" s="1161">
        <v>0</v>
      </c>
      <c r="DZ25" s="1161"/>
      <c r="EA25" s="245">
        <v>0</v>
      </c>
      <c r="EB25" s="245">
        <v>0</v>
      </c>
      <c r="EC25" s="295">
        <v>0</v>
      </c>
      <c r="ED25" s="1171" t="s">
        <v>279</v>
      </c>
      <c r="EE25" s="323"/>
      <c r="EF25" s="1148">
        <v>0</v>
      </c>
      <c r="EG25" s="245">
        <v>0</v>
      </c>
      <c r="EH25" s="245">
        <v>0</v>
      </c>
      <c r="EI25" s="252">
        <v>0</v>
      </c>
      <c r="EJ25" s="245">
        <v>0</v>
      </c>
      <c r="EK25" s="295">
        <v>0</v>
      </c>
      <c r="EL25" s="246" t="s">
        <v>279</v>
      </c>
      <c r="EM25" s="323"/>
      <c r="EN25" s="1148">
        <v>0</v>
      </c>
      <c r="EO25" s="245">
        <v>0</v>
      </c>
      <c r="EP25" s="245">
        <v>0</v>
      </c>
      <c r="EQ25" s="252">
        <v>0</v>
      </c>
      <c r="ER25" s="245">
        <v>0</v>
      </c>
      <c r="ES25" s="295">
        <v>0</v>
      </c>
      <c r="ET25" s="246" t="s">
        <v>279</v>
      </c>
      <c r="EU25" s="323"/>
      <c r="EV25" s="1148">
        <v>0</v>
      </c>
      <c r="EW25" s="245">
        <v>0</v>
      </c>
      <c r="EX25" s="245">
        <v>0</v>
      </c>
      <c r="EY25" s="252">
        <v>0</v>
      </c>
      <c r="EZ25" s="245">
        <v>0</v>
      </c>
      <c r="FA25" s="295">
        <v>0</v>
      </c>
      <c r="FB25" s="1171" t="s">
        <v>279</v>
      </c>
    </row>
    <row r="26" spans="1:158" s="166" customFormat="1" ht="30" customHeight="1">
      <c r="A26" s="1733"/>
      <c r="B26" s="1733"/>
      <c r="C26" s="1737"/>
      <c r="D26" s="191" t="s">
        <v>707</v>
      </c>
      <c r="E26" s="886" t="s">
        <v>74</v>
      </c>
      <c r="F26" s="873">
        <v>50</v>
      </c>
      <c r="G26" s="874">
        <v>20</v>
      </c>
      <c r="H26" s="935"/>
      <c r="I26" s="469">
        <v>0.5</v>
      </c>
      <c r="J26" s="252">
        <v>0.5</v>
      </c>
      <c r="K26" s="694">
        <v>1</v>
      </c>
      <c r="L26" s="936"/>
      <c r="M26" s="294">
        <v>0</v>
      </c>
      <c r="N26" s="694">
        <v>0</v>
      </c>
      <c r="O26" s="936"/>
      <c r="P26" s="465">
        <v>0</v>
      </c>
      <c r="Q26" s="245">
        <v>0</v>
      </c>
      <c r="R26" s="412">
        <v>0</v>
      </c>
      <c r="S26" s="938"/>
      <c r="T26" s="465">
        <v>0</v>
      </c>
      <c r="U26" s="245">
        <v>0</v>
      </c>
      <c r="V26" s="412">
        <v>0</v>
      </c>
      <c r="W26" s="1159"/>
      <c r="X26" s="465">
        <v>0</v>
      </c>
      <c r="Y26" s="245">
        <v>0</v>
      </c>
      <c r="Z26" s="412">
        <v>0</v>
      </c>
      <c r="AA26" s="1159"/>
      <c r="AB26" s="465">
        <v>0</v>
      </c>
      <c r="AC26" s="245">
        <v>0</v>
      </c>
      <c r="AD26" s="245">
        <v>0</v>
      </c>
      <c r="AE26" s="1159"/>
      <c r="AF26" s="1148">
        <v>0</v>
      </c>
      <c r="AG26" s="1169">
        <v>0</v>
      </c>
      <c r="AH26" s="1169">
        <v>0</v>
      </c>
      <c r="AI26" s="245">
        <v>0</v>
      </c>
      <c r="AJ26" s="245">
        <v>0</v>
      </c>
      <c r="AK26" s="245">
        <v>0</v>
      </c>
      <c r="AL26" s="412" t="s">
        <v>279</v>
      </c>
      <c r="AM26" s="1162"/>
      <c r="AN26" s="1148">
        <v>0</v>
      </c>
      <c r="AO26" s="1169">
        <v>0</v>
      </c>
      <c r="AP26" s="1169">
        <v>0</v>
      </c>
      <c r="AQ26" s="245">
        <v>0</v>
      </c>
      <c r="AR26" s="245">
        <v>0</v>
      </c>
      <c r="AS26" s="245">
        <v>0</v>
      </c>
      <c r="AT26" s="412" t="s">
        <v>279</v>
      </c>
      <c r="AU26" s="1162"/>
      <c r="AV26" s="1148">
        <v>0</v>
      </c>
      <c r="AW26" s="1161">
        <v>0</v>
      </c>
      <c r="AX26" s="1161">
        <v>0</v>
      </c>
      <c r="AY26" s="412">
        <v>0</v>
      </c>
      <c r="AZ26" s="1170">
        <v>0</v>
      </c>
      <c r="BA26" s="245">
        <v>0</v>
      </c>
      <c r="BB26" s="412" t="s">
        <v>279</v>
      </c>
      <c r="BC26" s="1162"/>
      <c r="BD26" s="1148">
        <v>0</v>
      </c>
      <c r="BE26" s="245">
        <v>0</v>
      </c>
      <c r="BF26" s="245">
        <v>0</v>
      </c>
      <c r="BG26" s="245">
        <v>0</v>
      </c>
      <c r="BH26" s="245">
        <v>0</v>
      </c>
      <c r="BI26" s="245">
        <v>0</v>
      </c>
      <c r="BJ26" s="412" t="s">
        <v>279</v>
      </c>
      <c r="BK26" s="1162"/>
      <c r="BL26" s="1148">
        <v>0</v>
      </c>
      <c r="BM26" s="245"/>
      <c r="BN26" s="245">
        <v>0</v>
      </c>
      <c r="BO26" s="245">
        <v>0</v>
      </c>
      <c r="BP26" s="245">
        <v>0</v>
      </c>
      <c r="BQ26" s="245">
        <v>0</v>
      </c>
      <c r="BR26" s="412" t="s">
        <v>279</v>
      </c>
      <c r="BS26" s="1162"/>
      <c r="BT26" s="1148">
        <v>0</v>
      </c>
      <c r="BU26" s="1161">
        <v>0</v>
      </c>
      <c r="BV26" s="1161">
        <v>0</v>
      </c>
      <c r="BW26" s="412">
        <v>0</v>
      </c>
      <c r="BX26" s="1170">
        <v>0</v>
      </c>
      <c r="BY26" s="245">
        <v>0</v>
      </c>
      <c r="BZ26" s="412" t="s">
        <v>279</v>
      </c>
      <c r="CA26" s="1162"/>
      <c r="CB26" s="1148">
        <v>0</v>
      </c>
      <c r="CC26" s="1161">
        <v>0</v>
      </c>
      <c r="CD26" s="1161">
        <v>0</v>
      </c>
      <c r="CE26" s="245">
        <v>0</v>
      </c>
      <c r="CF26" s="245">
        <v>0</v>
      </c>
      <c r="CG26" s="245">
        <v>0</v>
      </c>
      <c r="CH26" s="412" t="s">
        <v>279</v>
      </c>
      <c r="CI26" s="1162"/>
      <c r="CJ26" s="1148">
        <v>0</v>
      </c>
      <c r="CK26" s="1161">
        <v>0</v>
      </c>
      <c r="CL26" s="1161">
        <v>0</v>
      </c>
      <c r="CM26" s="245">
        <v>0</v>
      </c>
      <c r="CN26" s="245">
        <v>0</v>
      </c>
      <c r="CO26" s="245">
        <v>0</v>
      </c>
      <c r="CP26" s="412" t="s">
        <v>279</v>
      </c>
      <c r="CQ26" s="1162"/>
      <c r="CR26" s="1148">
        <v>0</v>
      </c>
      <c r="CS26" s="245">
        <v>0</v>
      </c>
      <c r="CT26" s="245">
        <v>0</v>
      </c>
      <c r="CU26" s="245">
        <v>0</v>
      </c>
      <c r="CV26" s="245">
        <v>0</v>
      </c>
      <c r="CW26" s="245">
        <v>0</v>
      </c>
      <c r="CX26" s="412" t="s">
        <v>279</v>
      </c>
      <c r="CY26" s="1162"/>
      <c r="CZ26" s="1148">
        <v>0</v>
      </c>
      <c r="DA26" s="245"/>
      <c r="DB26" s="245">
        <v>0</v>
      </c>
      <c r="DC26" s="245">
        <v>0</v>
      </c>
      <c r="DD26" s="245">
        <v>0</v>
      </c>
      <c r="DE26" s="245">
        <v>0</v>
      </c>
      <c r="DF26" s="412" t="s">
        <v>279</v>
      </c>
      <c r="DG26" s="1162"/>
      <c r="DH26" s="1148">
        <v>0</v>
      </c>
      <c r="DI26" s="1161">
        <v>0</v>
      </c>
      <c r="DJ26" s="1161">
        <v>0</v>
      </c>
      <c r="DK26" s="245">
        <v>0</v>
      </c>
      <c r="DL26" s="245">
        <v>0</v>
      </c>
      <c r="DM26" s="245">
        <v>0</v>
      </c>
      <c r="DN26" s="412" t="s">
        <v>279</v>
      </c>
      <c r="DO26" s="1162"/>
      <c r="DP26" s="1148">
        <v>0</v>
      </c>
      <c r="DQ26" s="1161">
        <v>0</v>
      </c>
      <c r="DR26" s="1161"/>
      <c r="DS26" s="245">
        <v>0</v>
      </c>
      <c r="DT26" s="245">
        <v>0</v>
      </c>
      <c r="DU26" s="245">
        <v>0</v>
      </c>
      <c r="DV26" s="412" t="s">
        <v>279</v>
      </c>
      <c r="DW26" s="1162"/>
      <c r="DX26" s="1148">
        <v>0</v>
      </c>
      <c r="DY26" s="1161">
        <v>0</v>
      </c>
      <c r="DZ26" s="1161"/>
      <c r="EA26" s="245">
        <v>0</v>
      </c>
      <c r="EB26" s="245">
        <v>0</v>
      </c>
      <c r="EC26" s="295">
        <v>0</v>
      </c>
      <c r="ED26" s="1171" t="s">
        <v>279</v>
      </c>
      <c r="EE26" s="323"/>
      <c r="EF26" s="1148">
        <v>0</v>
      </c>
      <c r="EG26" s="245">
        <v>0</v>
      </c>
      <c r="EH26" s="245">
        <v>0</v>
      </c>
      <c r="EI26" s="252">
        <v>0</v>
      </c>
      <c r="EJ26" s="245">
        <v>0</v>
      </c>
      <c r="EK26" s="295">
        <v>0</v>
      </c>
      <c r="EL26" s="246" t="s">
        <v>279</v>
      </c>
      <c r="EM26" s="323"/>
      <c r="EN26" s="1148">
        <v>0</v>
      </c>
      <c r="EO26" s="245">
        <v>0</v>
      </c>
      <c r="EP26" s="245">
        <v>0</v>
      </c>
      <c r="EQ26" s="252">
        <v>0</v>
      </c>
      <c r="ER26" s="245">
        <v>0</v>
      </c>
      <c r="ES26" s="295">
        <v>0</v>
      </c>
      <c r="ET26" s="246" t="s">
        <v>279</v>
      </c>
      <c r="EU26" s="323"/>
      <c r="EV26" s="1148">
        <v>0</v>
      </c>
      <c r="EW26" s="245">
        <v>0</v>
      </c>
      <c r="EX26" s="245">
        <v>0</v>
      </c>
      <c r="EY26" s="252">
        <v>0</v>
      </c>
      <c r="EZ26" s="245">
        <v>0</v>
      </c>
      <c r="FA26" s="295">
        <v>0</v>
      </c>
      <c r="FB26" s="1171" t="s">
        <v>279</v>
      </c>
    </row>
    <row r="27" spans="1:158" s="166" customFormat="1" ht="30" customHeight="1" thickBot="1">
      <c r="A27" s="1734"/>
      <c r="B27" s="1734"/>
      <c r="C27" s="1738"/>
      <c r="D27" s="193" t="s">
        <v>14</v>
      </c>
      <c r="E27" s="894"/>
      <c r="F27" s="881"/>
      <c r="G27" s="881">
        <v>100</v>
      </c>
      <c r="H27" s="935"/>
      <c r="I27" s="475"/>
      <c r="J27" s="269">
        <v>0</v>
      </c>
      <c r="K27" s="270">
        <v>11.5</v>
      </c>
      <c r="L27" s="936"/>
      <c r="M27" s="301"/>
      <c r="N27" s="258"/>
      <c r="O27" s="936"/>
      <c r="P27" s="466" t="s">
        <v>4</v>
      </c>
      <c r="Q27" s="490"/>
      <c r="R27" s="854">
        <v>0</v>
      </c>
      <c r="S27" s="938"/>
      <c r="T27" s="466"/>
      <c r="U27" s="490"/>
      <c r="V27" s="854">
        <v>0</v>
      </c>
      <c r="W27" s="1159"/>
      <c r="X27" s="466"/>
      <c r="Y27" s="490"/>
      <c r="Z27" s="854">
        <v>0</v>
      </c>
      <c r="AA27" s="1159"/>
      <c r="AB27" s="466"/>
      <c r="AC27" s="490">
        <v>0</v>
      </c>
      <c r="AD27" s="854">
        <v>0</v>
      </c>
      <c r="AE27" s="1159"/>
      <c r="AF27" s="1173"/>
      <c r="AG27" s="1174"/>
      <c r="AH27" s="1174"/>
      <c r="AI27" s="490">
        <v>0</v>
      </c>
      <c r="AJ27" s="939"/>
      <c r="AK27" s="490">
        <v>0</v>
      </c>
      <c r="AL27" s="467"/>
      <c r="AM27" s="1162"/>
      <c r="AN27" s="1173"/>
      <c r="AO27" s="1174"/>
      <c r="AP27" s="1174"/>
      <c r="AQ27" s="854">
        <v>0</v>
      </c>
      <c r="AR27" s="939"/>
      <c r="AS27" s="490">
        <v>0</v>
      </c>
      <c r="AT27" s="467"/>
      <c r="AU27" s="1162"/>
      <c r="AV27" s="1173"/>
      <c r="AW27" s="1174"/>
      <c r="AX27" s="1174"/>
      <c r="AY27" s="854">
        <v>30</v>
      </c>
      <c r="AZ27" s="940"/>
      <c r="BA27" s="490">
        <v>30</v>
      </c>
      <c r="BB27" s="467"/>
      <c r="BC27" s="1162"/>
      <c r="BD27" s="1173"/>
      <c r="BE27" s="939"/>
      <c r="BF27" s="939"/>
      <c r="BG27" s="854">
        <v>30</v>
      </c>
      <c r="BH27" s="939"/>
      <c r="BI27" s="490">
        <v>30</v>
      </c>
      <c r="BJ27" s="467"/>
      <c r="BK27" s="1162"/>
      <c r="BL27" s="1173"/>
      <c r="BM27" s="939"/>
      <c r="BN27" s="939"/>
      <c r="BO27" s="854">
        <v>30</v>
      </c>
      <c r="BP27" s="939"/>
      <c r="BQ27" s="490">
        <v>30</v>
      </c>
      <c r="BR27" s="467"/>
      <c r="BS27" s="1162"/>
      <c r="BT27" s="1173"/>
      <c r="BU27" s="939"/>
      <c r="BV27" s="939"/>
      <c r="BW27" s="854">
        <v>0.4</v>
      </c>
      <c r="BX27" s="940"/>
      <c r="BY27" s="490">
        <v>30.4</v>
      </c>
      <c r="BZ27" s="467"/>
      <c r="CA27" s="1162"/>
      <c r="CB27" s="1173"/>
      <c r="CC27" s="939"/>
      <c r="CD27" s="939"/>
      <c r="CE27" s="854">
        <v>3.2</v>
      </c>
      <c r="CF27" s="939"/>
      <c r="CG27" s="490">
        <v>33.600000000000009</v>
      </c>
      <c r="CH27" s="467"/>
      <c r="CI27" s="1162"/>
      <c r="CJ27" s="1173"/>
      <c r="CK27" s="939"/>
      <c r="CL27" s="939"/>
      <c r="CM27" s="854">
        <v>8.6000000000000014</v>
      </c>
      <c r="CN27" s="939"/>
      <c r="CO27" s="490">
        <v>42.2</v>
      </c>
      <c r="CP27" s="467"/>
      <c r="CQ27" s="1162"/>
      <c r="CR27" s="1173"/>
      <c r="CS27" s="939"/>
      <c r="CT27" s="939"/>
      <c r="CU27" s="854">
        <v>12.200000000000001</v>
      </c>
      <c r="CV27" s="939"/>
      <c r="CW27" s="490">
        <v>42.2</v>
      </c>
      <c r="CX27" s="467"/>
      <c r="CY27" s="1162"/>
      <c r="CZ27" s="1173"/>
      <c r="DA27" s="939"/>
      <c r="DB27" s="939"/>
      <c r="DC27" s="854">
        <v>42.199999999999996</v>
      </c>
      <c r="DD27" s="939"/>
      <c r="DE27" s="490">
        <v>42.2</v>
      </c>
      <c r="DF27" s="467"/>
      <c r="DG27" s="1162"/>
      <c r="DH27" s="1173"/>
      <c r="DI27" s="939"/>
      <c r="DJ27" s="939"/>
      <c r="DK27" s="854">
        <v>9.0300000000000011</v>
      </c>
      <c r="DL27" s="939"/>
      <c r="DM27" s="490">
        <v>51.230000000000011</v>
      </c>
      <c r="DN27" s="467"/>
      <c r="DO27" s="1162"/>
      <c r="DP27" s="1173"/>
      <c r="DQ27" s="939"/>
      <c r="DR27" s="939"/>
      <c r="DS27" s="854">
        <v>0</v>
      </c>
      <c r="DT27" s="939"/>
      <c r="DU27" s="490">
        <v>51.230000000000011</v>
      </c>
      <c r="DV27" s="467"/>
      <c r="DW27" s="1162"/>
      <c r="DX27" s="1173"/>
      <c r="DY27" s="939"/>
      <c r="DZ27" s="939"/>
      <c r="EA27" s="854">
        <v>0</v>
      </c>
      <c r="EB27" s="261"/>
      <c r="EC27" s="260">
        <v>51.230000000000011</v>
      </c>
      <c r="ED27" s="471"/>
      <c r="EE27" s="323"/>
      <c r="EF27" s="1173"/>
      <c r="EG27" s="261"/>
      <c r="EH27" s="261"/>
      <c r="EI27" s="259">
        <v>9.0300000000000011</v>
      </c>
      <c r="EJ27" s="261"/>
      <c r="EK27" s="260">
        <v>51.230000000000011</v>
      </c>
      <c r="EL27" s="471"/>
      <c r="EM27" s="323"/>
      <c r="EN27" s="1173"/>
      <c r="EO27" s="261"/>
      <c r="EP27" s="261"/>
      <c r="EQ27" s="259">
        <v>21.23</v>
      </c>
      <c r="ER27" s="261"/>
      <c r="ES27" s="260">
        <v>51.230000000000011</v>
      </c>
      <c r="ET27" s="471"/>
      <c r="EU27" s="323"/>
      <c r="EV27" s="1173"/>
      <c r="EW27" s="261"/>
      <c r="EX27" s="261"/>
      <c r="EY27" s="259">
        <v>51.230000000000004</v>
      </c>
      <c r="EZ27" s="261"/>
      <c r="FA27" s="260">
        <v>51.230000000000011</v>
      </c>
      <c r="FB27" s="471"/>
    </row>
    <row r="28" spans="1:158" s="166" customFormat="1" ht="30" customHeight="1">
      <c r="A28" s="1748" t="s">
        <v>35</v>
      </c>
      <c r="B28" s="1748" t="s">
        <v>35</v>
      </c>
      <c r="C28" s="1750" t="s">
        <v>177</v>
      </c>
      <c r="D28" s="194" t="s">
        <v>189</v>
      </c>
      <c r="E28" s="890" t="s">
        <v>791</v>
      </c>
      <c r="F28" s="879">
        <v>1</v>
      </c>
      <c r="G28" s="879">
        <v>10</v>
      </c>
      <c r="H28" s="935"/>
      <c r="I28" s="468">
        <v>0.5</v>
      </c>
      <c r="J28" s="241">
        <v>9.0000000000000011E-3</v>
      </c>
      <c r="K28" s="693">
        <v>0.9</v>
      </c>
      <c r="L28" s="936"/>
      <c r="M28" s="982">
        <v>1</v>
      </c>
      <c r="N28" s="695">
        <v>1.4910000000000001</v>
      </c>
      <c r="O28" s="936"/>
      <c r="P28" s="852">
        <v>0</v>
      </c>
      <c r="Q28" s="243">
        <v>0</v>
      </c>
      <c r="R28" s="412">
        <v>0</v>
      </c>
      <c r="S28" s="938"/>
      <c r="T28" s="463">
        <v>0</v>
      </c>
      <c r="U28" s="271">
        <v>0</v>
      </c>
      <c r="V28" s="412">
        <v>0</v>
      </c>
      <c r="W28" s="1159"/>
      <c r="X28" s="465">
        <v>0</v>
      </c>
      <c r="Y28" s="245">
        <v>0</v>
      </c>
      <c r="Z28" s="412">
        <v>0</v>
      </c>
      <c r="AA28" s="1159"/>
      <c r="AB28" s="465">
        <v>0</v>
      </c>
      <c r="AC28" s="245">
        <v>0</v>
      </c>
      <c r="AD28" s="412">
        <v>0</v>
      </c>
      <c r="AE28" s="1159"/>
      <c r="AF28" s="1148">
        <v>0</v>
      </c>
      <c r="AG28" s="1169">
        <v>0.24850000000000003</v>
      </c>
      <c r="AH28" s="1169">
        <v>0</v>
      </c>
      <c r="AI28" s="243">
        <v>0</v>
      </c>
      <c r="AJ28" s="243">
        <v>0</v>
      </c>
      <c r="AK28" s="243">
        <v>0</v>
      </c>
      <c r="AL28" s="411" t="s">
        <v>279</v>
      </c>
      <c r="AM28" s="1162"/>
      <c r="AN28" s="1148">
        <v>0</v>
      </c>
      <c r="AO28" s="1169">
        <v>0.24850000000000003</v>
      </c>
      <c r="AP28" s="1169">
        <v>0</v>
      </c>
      <c r="AQ28" s="245">
        <v>0</v>
      </c>
      <c r="AR28" s="243">
        <v>0</v>
      </c>
      <c r="AS28" s="243">
        <v>0</v>
      </c>
      <c r="AT28" s="411" t="s">
        <v>279</v>
      </c>
      <c r="AU28" s="1162"/>
      <c r="AV28" s="1148">
        <v>40.241448692152915</v>
      </c>
      <c r="AW28" s="1161">
        <v>0.24850000000000003</v>
      </c>
      <c r="AX28" s="1161">
        <v>0.1</v>
      </c>
      <c r="AY28" s="412">
        <v>1</v>
      </c>
      <c r="AZ28" s="1170">
        <v>0.1</v>
      </c>
      <c r="BA28" s="243">
        <v>1</v>
      </c>
      <c r="BB28" s="411" t="s">
        <v>279</v>
      </c>
      <c r="BC28" s="1162"/>
      <c r="BD28" s="1148">
        <v>13.413816230717639</v>
      </c>
      <c r="BE28" s="245">
        <v>0.74550000000000005</v>
      </c>
      <c r="BF28" s="245">
        <v>0.1</v>
      </c>
      <c r="BG28" s="245">
        <v>1</v>
      </c>
      <c r="BH28" s="245">
        <v>0.1</v>
      </c>
      <c r="BI28" s="245">
        <v>1</v>
      </c>
      <c r="BJ28" s="412" t="s">
        <v>279</v>
      </c>
      <c r="BK28" s="1162"/>
      <c r="BL28" s="1148">
        <v>0</v>
      </c>
      <c r="BM28" s="245"/>
      <c r="BN28" s="245">
        <v>0.1</v>
      </c>
      <c r="BO28" s="245">
        <v>1</v>
      </c>
      <c r="BP28" s="245">
        <v>0.1</v>
      </c>
      <c r="BQ28" s="245">
        <v>1</v>
      </c>
      <c r="BR28" s="411" t="s">
        <v>279</v>
      </c>
      <c r="BS28" s="1162"/>
      <c r="BT28" s="1148">
        <v>0</v>
      </c>
      <c r="BU28" s="1161">
        <v>0.24850000000000003</v>
      </c>
      <c r="BV28" s="1161">
        <v>0</v>
      </c>
      <c r="BW28" s="412">
        <v>0</v>
      </c>
      <c r="BX28" s="1170">
        <v>0.1</v>
      </c>
      <c r="BY28" s="243">
        <v>1</v>
      </c>
      <c r="BZ28" s="411" t="s">
        <v>279</v>
      </c>
      <c r="CA28" s="1162"/>
      <c r="CB28" s="1148">
        <v>0</v>
      </c>
      <c r="CC28" s="1161">
        <v>0</v>
      </c>
      <c r="CD28" s="1161">
        <v>0.05</v>
      </c>
      <c r="CE28" s="245">
        <v>0.5</v>
      </c>
      <c r="CF28" s="245">
        <v>0.15000000000000002</v>
      </c>
      <c r="CG28" s="243">
        <v>1.5000000000000002</v>
      </c>
      <c r="CH28" s="411" t="s">
        <v>279</v>
      </c>
      <c r="CI28" s="1162"/>
      <c r="CJ28" s="1148">
        <v>102.61569416498995</v>
      </c>
      <c r="CK28" s="1161">
        <v>0.16566666666666668</v>
      </c>
      <c r="CL28" s="1161">
        <v>0.17</v>
      </c>
      <c r="CM28" s="245">
        <v>1.7000000000000002</v>
      </c>
      <c r="CN28" s="245">
        <v>0.32000000000000006</v>
      </c>
      <c r="CO28" s="243">
        <v>3.2000000000000006</v>
      </c>
      <c r="CP28" s="411" t="s">
        <v>279</v>
      </c>
      <c r="CQ28" s="1162"/>
      <c r="CR28" s="1148">
        <v>53.118712273641854</v>
      </c>
      <c r="CS28" s="245">
        <v>0.41416666666666668</v>
      </c>
      <c r="CT28" s="245">
        <v>0.22000000000000003</v>
      </c>
      <c r="CU28" s="245">
        <v>2.2000000000000002</v>
      </c>
      <c r="CV28" s="245">
        <v>0.32000000000000006</v>
      </c>
      <c r="CW28" s="245">
        <v>3.2000000000000006</v>
      </c>
      <c r="CX28" s="412" t="s">
        <v>279</v>
      </c>
      <c r="CY28" s="1162"/>
      <c r="CZ28" s="1148">
        <v>0</v>
      </c>
      <c r="DA28" s="245"/>
      <c r="DB28" s="245">
        <v>0.32000000000000006</v>
      </c>
      <c r="DC28" s="245">
        <v>3.2000000000000006</v>
      </c>
      <c r="DD28" s="245">
        <v>0.32000000000000006</v>
      </c>
      <c r="DE28" s="245">
        <v>3.2000000000000006</v>
      </c>
      <c r="DF28" s="411" t="s">
        <v>279</v>
      </c>
      <c r="DG28" s="1162"/>
      <c r="DH28" s="1148">
        <v>107.74647887323943</v>
      </c>
      <c r="DI28" s="1161">
        <v>0.16566666666666668</v>
      </c>
      <c r="DJ28" s="1161">
        <v>0.17850000000000002</v>
      </c>
      <c r="DK28" s="245">
        <v>1.7850000000000001</v>
      </c>
      <c r="DL28" s="245">
        <v>0.49850000000000005</v>
      </c>
      <c r="DM28" s="243">
        <v>4.9850000000000003</v>
      </c>
      <c r="DN28" s="411" t="s">
        <v>279</v>
      </c>
      <c r="DO28" s="1162"/>
      <c r="DP28" s="1148">
        <v>0</v>
      </c>
      <c r="DQ28" s="1161">
        <v>0.16566666666666668</v>
      </c>
      <c r="DR28" s="1161"/>
      <c r="DS28" s="245">
        <v>0</v>
      </c>
      <c r="DT28" s="245">
        <v>0.49850000000000005</v>
      </c>
      <c r="DU28" s="243">
        <v>4.9850000000000003</v>
      </c>
      <c r="DV28" s="411" t="s">
        <v>279</v>
      </c>
      <c r="DW28" s="1162"/>
      <c r="DX28" s="1148">
        <v>0</v>
      </c>
      <c r="DY28" s="1161">
        <v>0.16566666666666668</v>
      </c>
      <c r="DZ28" s="1161"/>
      <c r="EA28" s="245">
        <v>0</v>
      </c>
      <c r="EB28" s="245">
        <v>0.49850000000000005</v>
      </c>
      <c r="EC28" s="290">
        <v>4.9850000000000003</v>
      </c>
      <c r="ED28" s="1168" t="s">
        <v>279</v>
      </c>
      <c r="EE28" s="323"/>
      <c r="EF28" s="1148">
        <v>35.91549295774648</v>
      </c>
      <c r="EG28" s="245">
        <v>0.49700000000000005</v>
      </c>
      <c r="EH28" s="245">
        <v>0.17850000000000002</v>
      </c>
      <c r="EI28" s="252">
        <v>1.7850000000000001</v>
      </c>
      <c r="EJ28" s="245">
        <v>0.49850000000000005</v>
      </c>
      <c r="EK28" s="295">
        <v>4.9850000000000003</v>
      </c>
      <c r="EL28" s="246" t="s">
        <v>279</v>
      </c>
      <c r="EM28" s="323"/>
      <c r="EN28" s="1148">
        <v>43.735138101335295</v>
      </c>
      <c r="EO28" s="245">
        <v>0.91116666666666668</v>
      </c>
      <c r="EP28" s="245">
        <v>0.39850000000000008</v>
      </c>
      <c r="EQ28" s="252">
        <v>3.9850000000000008</v>
      </c>
      <c r="ER28" s="245">
        <v>0.49850000000000005</v>
      </c>
      <c r="ES28" s="295">
        <v>4.9850000000000003</v>
      </c>
      <c r="ET28" s="246" t="s">
        <v>279</v>
      </c>
      <c r="EU28" s="323"/>
      <c r="EV28" s="1148">
        <v>54.710078653740638</v>
      </c>
      <c r="EW28" s="245">
        <v>0.91116666666666668</v>
      </c>
      <c r="EX28" s="245">
        <v>0.49850000000000005</v>
      </c>
      <c r="EY28" s="252">
        <v>4.9850000000000003</v>
      </c>
      <c r="EZ28" s="245">
        <v>0.49850000000000005</v>
      </c>
      <c r="FA28" s="295">
        <v>4.9850000000000003</v>
      </c>
      <c r="FB28" s="1168" t="s">
        <v>279</v>
      </c>
    </row>
    <row r="29" spans="1:158" s="166" customFormat="1" ht="30" customHeight="1">
      <c r="A29" s="1733"/>
      <c r="B29" s="1733"/>
      <c r="C29" s="1737"/>
      <c r="D29" s="191" t="s">
        <v>66</v>
      </c>
      <c r="E29" s="886" t="s">
        <v>12</v>
      </c>
      <c r="F29" s="873">
        <v>1</v>
      </c>
      <c r="G29" s="874">
        <v>20</v>
      </c>
      <c r="H29" s="935"/>
      <c r="I29" s="469">
        <v>0.5</v>
      </c>
      <c r="J29" s="252">
        <v>4.4000000000000004E-2</v>
      </c>
      <c r="K29" s="694">
        <v>4.4000000000000004</v>
      </c>
      <c r="L29" s="936"/>
      <c r="M29" s="294">
        <v>1</v>
      </c>
      <c r="N29" s="694">
        <v>1.456</v>
      </c>
      <c r="O29" s="936"/>
      <c r="P29" s="465">
        <v>0</v>
      </c>
      <c r="Q29" s="245">
        <v>0</v>
      </c>
      <c r="R29" s="412">
        <v>0</v>
      </c>
      <c r="S29" s="938"/>
      <c r="T29" s="465">
        <v>0</v>
      </c>
      <c r="U29" s="245">
        <v>0</v>
      </c>
      <c r="V29" s="412">
        <v>0</v>
      </c>
      <c r="W29" s="1159"/>
      <c r="X29" s="465">
        <v>0</v>
      </c>
      <c r="Y29" s="245">
        <v>0</v>
      </c>
      <c r="Z29" s="412">
        <v>0</v>
      </c>
      <c r="AA29" s="1159"/>
      <c r="AB29" s="465">
        <v>0</v>
      </c>
      <c r="AC29" s="245">
        <v>0</v>
      </c>
      <c r="AD29" s="412">
        <v>0</v>
      </c>
      <c r="AE29" s="1159"/>
      <c r="AF29" s="1148">
        <v>0</v>
      </c>
      <c r="AG29" s="1169">
        <v>0.24266666666666667</v>
      </c>
      <c r="AH29" s="1169">
        <v>0</v>
      </c>
      <c r="AI29" s="245">
        <v>0</v>
      </c>
      <c r="AJ29" s="245">
        <v>0</v>
      </c>
      <c r="AK29" s="245">
        <v>0</v>
      </c>
      <c r="AL29" s="412" t="s">
        <v>279</v>
      </c>
      <c r="AM29" s="1162"/>
      <c r="AN29" s="1148">
        <v>0</v>
      </c>
      <c r="AO29" s="1169">
        <v>0.24266666666666667</v>
      </c>
      <c r="AP29" s="1169">
        <v>0</v>
      </c>
      <c r="AQ29" s="245">
        <v>0</v>
      </c>
      <c r="AR29" s="245">
        <v>0</v>
      </c>
      <c r="AS29" s="245">
        <v>0</v>
      </c>
      <c r="AT29" s="412" t="s">
        <v>279</v>
      </c>
      <c r="AU29" s="1162"/>
      <c r="AV29" s="1148">
        <v>41.208791208791212</v>
      </c>
      <c r="AW29" s="1161">
        <v>0.24266666666666667</v>
      </c>
      <c r="AX29" s="1161">
        <v>0.1</v>
      </c>
      <c r="AY29" s="412">
        <v>2</v>
      </c>
      <c r="AZ29" s="1170">
        <v>0.1</v>
      </c>
      <c r="BA29" s="245">
        <v>2</v>
      </c>
      <c r="BB29" s="412" t="s">
        <v>279</v>
      </c>
      <c r="BC29" s="1162"/>
      <c r="BD29" s="1148">
        <v>13.736263736263737</v>
      </c>
      <c r="BE29" s="245">
        <v>0.72799999999999998</v>
      </c>
      <c r="BF29" s="245">
        <v>0.1</v>
      </c>
      <c r="BG29" s="245">
        <v>2</v>
      </c>
      <c r="BH29" s="245">
        <v>0.1</v>
      </c>
      <c r="BI29" s="245">
        <v>2</v>
      </c>
      <c r="BJ29" s="412" t="s">
        <v>279</v>
      </c>
      <c r="BK29" s="1162"/>
      <c r="BL29" s="1148">
        <v>0</v>
      </c>
      <c r="BM29" s="245"/>
      <c r="BN29" s="245">
        <v>0.1</v>
      </c>
      <c r="BO29" s="245">
        <v>2</v>
      </c>
      <c r="BP29" s="245">
        <v>0.1</v>
      </c>
      <c r="BQ29" s="245">
        <v>2</v>
      </c>
      <c r="BR29" s="412" t="s">
        <v>279</v>
      </c>
      <c r="BS29" s="1162"/>
      <c r="BT29" s="1148">
        <v>0</v>
      </c>
      <c r="BU29" s="1161">
        <v>0.24266666666666667</v>
      </c>
      <c r="BV29" s="1161">
        <v>0</v>
      </c>
      <c r="BW29" s="412">
        <v>0</v>
      </c>
      <c r="BX29" s="1170">
        <v>0.1</v>
      </c>
      <c r="BY29" s="245">
        <v>2</v>
      </c>
      <c r="BZ29" s="412" t="s">
        <v>279</v>
      </c>
      <c r="CA29" s="1162"/>
      <c r="CB29" s="1148">
        <v>0</v>
      </c>
      <c r="CC29" s="1161">
        <v>0</v>
      </c>
      <c r="CD29" s="1161">
        <v>0.05</v>
      </c>
      <c r="CE29" s="245">
        <v>1</v>
      </c>
      <c r="CF29" s="245">
        <v>0.15000000000000002</v>
      </c>
      <c r="CG29" s="245">
        <v>3.0000000000000004</v>
      </c>
      <c r="CH29" s="412" t="s">
        <v>279</v>
      </c>
      <c r="CI29" s="1162"/>
      <c r="CJ29" s="1148">
        <v>98.901098901098905</v>
      </c>
      <c r="CK29" s="1161">
        <v>0.16177777777777777</v>
      </c>
      <c r="CL29" s="1161">
        <v>0.16</v>
      </c>
      <c r="CM29" s="245">
        <v>3.2</v>
      </c>
      <c r="CN29" s="245">
        <v>0.31000000000000005</v>
      </c>
      <c r="CO29" s="245">
        <v>6.2000000000000011</v>
      </c>
      <c r="CP29" s="412" t="s">
        <v>279</v>
      </c>
      <c r="CQ29" s="1162"/>
      <c r="CR29" s="1148">
        <v>51.923076923076927</v>
      </c>
      <c r="CS29" s="245">
        <v>0.40444444444444444</v>
      </c>
      <c r="CT29" s="245">
        <v>0.21000000000000002</v>
      </c>
      <c r="CU29" s="245">
        <v>4.2</v>
      </c>
      <c r="CV29" s="245">
        <v>0.31000000000000005</v>
      </c>
      <c r="CW29" s="245">
        <v>6.2000000000000011</v>
      </c>
      <c r="CX29" s="412" t="s">
        <v>279</v>
      </c>
      <c r="CY29" s="1162"/>
      <c r="CZ29" s="1148">
        <v>0</v>
      </c>
      <c r="DA29" s="245"/>
      <c r="DB29" s="245">
        <v>0.31000000000000005</v>
      </c>
      <c r="DC29" s="245">
        <v>6.2000000000000011</v>
      </c>
      <c r="DD29" s="245">
        <v>0.31000000000000005</v>
      </c>
      <c r="DE29" s="245">
        <v>6.2000000000000011</v>
      </c>
      <c r="DF29" s="412" t="s">
        <v>279</v>
      </c>
      <c r="DG29" s="1162"/>
      <c r="DH29" s="1148">
        <v>103.84615384615385</v>
      </c>
      <c r="DI29" s="1161">
        <v>0.16177777777777777</v>
      </c>
      <c r="DJ29" s="1161">
        <v>0.16800000000000001</v>
      </c>
      <c r="DK29" s="245">
        <v>3.3600000000000003</v>
      </c>
      <c r="DL29" s="245">
        <v>0.47800000000000009</v>
      </c>
      <c r="DM29" s="245">
        <v>9.5600000000000023</v>
      </c>
      <c r="DN29" s="412" t="s">
        <v>279</v>
      </c>
      <c r="DO29" s="1162"/>
      <c r="DP29" s="1148">
        <v>0</v>
      </c>
      <c r="DQ29" s="1161">
        <v>0.16177777777777777</v>
      </c>
      <c r="DR29" s="1161"/>
      <c r="DS29" s="245">
        <v>0</v>
      </c>
      <c r="DT29" s="245">
        <v>0.47800000000000009</v>
      </c>
      <c r="DU29" s="245">
        <v>9.5600000000000023</v>
      </c>
      <c r="DV29" s="412" t="s">
        <v>279</v>
      </c>
      <c r="DW29" s="1162"/>
      <c r="DX29" s="1148">
        <v>0</v>
      </c>
      <c r="DY29" s="1161">
        <v>0.16177777777777777</v>
      </c>
      <c r="DZ29" s="1161"/>
      <c r="EA29" s="245">
        <v>0</v>
      </c>
      <c r="EB29" s="245">
        <v>0.47800000000000009</v>
      </c>
      <c r="EC29" s="295">
        <v>9.5600000000000023</v>
      </c>
      <c r="ED29" s="1171" t="s">
        <v>279</v>
      </c>
      <c r="EE29" s="323"/>
      <c r="EF29" s="1148">
        <v>34.61538461538462</v>
      </c>
      <c r="EG29" s="245">
        <v>0.48533333333333328</v>
      </c>
      <c r="EH29" s="245">
        <v>0.16800000000000001</v>
      </c>
      <c r="EI29" s="252">
        <v>3.3600000000000003</v>
      </c>
      <c r="EJ29" s="245">
        <v>0.47800000000000009</v>
      </c>
      <c r="EK29" s="295">
        <v>9.5600000000000023</v>
      </c>
      <c r="EL29" s="246" t="s">
        <v>279</v>
      </c>
      <c r="EM29" s="323"/>
      <c r="EN29" s="1148">
        <v>42.482517482517487</v>
      </c>
      <c r="EO29" s="245">
        <v>0.88977777777777778</v>
      </c>
      <c r="EP29" s="245">
        <v>0.378</v>
      </c>
      <c r="EQ29" s="252">
        <v>7.5600000000000005</v>
      </c>
      <c r="ER29" s="245">
        <v>0.47800000000000009</v>
      </c>
      <c r="ES29" s="295">
        <v>9.5600000000000023</v>
      </c>
      <c r="ET29" s="246" t="s">
        <v>279</v>
      </c>
      <c r="EU29" s="323"/>
      <c r="EV29" s="1148">
        <v>53.721278721278722</v>
      </c>
      <c r="EW29" s="245">
        <v>0.88977777777777778</v>
      </c>
      <c r="EX29" s="245">
        <v>0.47799999999999998</v>
      </c>
      <c r="EY29" s="252">
        <v>9.5599999999999987</v>
      </c>
      <c r="EZ29" s="245">
        <v>0.47800000000000009</v>
      </c>
      <c r="FA29" s="295">
        <v>9.5600000000000023</v>
      </c>
      <c r="FB29" s="1171" t="s">
        <v>279</v>
      </c>
    </row>
    <row r="30" spans="1:158" s="166" customFormat="1" ht="30" customHeight="1">
      <c r="A30" s="1733"/>
      <c r="B30" s="1733"/>
      <c r="C30" s="1737"/>
      <c r="D30" s="191" t="s">
        <v>67</v>
      </c>
      <c r="E30" s="886" t="s">
        <v>12</v>
      </c>
      <c r="F30" s="873">
        <v>1</v>
      </c>
      <c r="G30" s="874">
        <v>20</v>
      </c>
      <c r="H30" s="935"/>
      <c r="I30" s="469">
        <v>0.5</v>
      </c>
      <c r="J30" s="252">
        <v>1E-3</v>
      </c>
      <c r="K30" s="694">
        <v>0.1</v>
      </c>
      <c r="L30" s="936"/>
      <c r="M30" s="294">
        <v>0.3</v>
      </c>
      <c r="N30" s="694">
        <v>0.79900000000000004</v>
      </c>
      <c r="O30" s="936"/>
      <c r="P30" s="465">
        <v>0</v>
      </c>
      <c r="Q30" s="245">
        <v>0</v>
      </c>
      <c r="R30" s="412">
        <v>0</v>
      </c>
      <c r="S30" s="938"/>
      <c r="T30" s="465">
        <v>0</v>
      </c>
      <c r="U30" s="245">
        <v>0</v>
      </c>
      <c r="V30" s="412">
        <v>0</v>
      </c>
      <c r="W30" s="1159"/>
      <c r="X30" s="465">
        <v>0</v>
      </c>
      <c r="Y30" s="245">
        <v>0</v>
      </c>
      <c r="Z30" s="412">
        <v>0</v>
      </c>
      <c r="AA30" s="1159"/>
      <c r="AB30" s="465">
        <v>0</v>
      </c>
      <c r="AC30" s="245">
        <v>0</v>
      </c>
      <c r="AD30" s="412">
        <v>0</v>
      </c>
      <c r="AE30" s="1159"/>
      <c r="AF30" s="1148">
        <v>0</v>
      </c>
      <c r="AG30" s="1169">
        <v>6.6583333333333342E-2</v>
      </c>
      <c r="AH30" s="1169">
        <v>0</v>
      </c>
      <c r="AI30" s="245">
        <v>0</v>
      </c>
      <c r="AJ30" s="245">
        <v>0</v>
      </c>
      <c r="AK30" s="245">
        <v>0</v>
      </c>
      <c r="AL30" s="412" t="s">
        <v>279</v>
      </c>
      <c r="AM30" s="1162"/>
      <c r="AN30" s="1148">
        <v>0</v>
      </c>
      <c r="AO30" s="1169">
        <v>6.6583333333333342E-2</v>
      </c>
      <c r="AP30" s="1169">
        <v>0</v>
      </c>
      <c r="AQ30" s="245">
        <v>0</v>
      </c>
      <c r="AR30" s="245">
        <v>0</v>
      </c>
      <c r="AS30" s="245">
        <v>0</v>
      </c>
      <c r="AT30" s="412" t="s">
        <v>279</v>
      </c>
      <c r="AU30" s="1162"/>
      <c r="AV30" s="1148">
        <v>45.056320400500624</v>
      </c>
      <c r="AW30" s="1169">
        <v>6.6583333333333342E-2</v>
      </c>
      <c r="AX30" s="1161">
        <v>0.03</v>
      </c>
      <c r="AY30" s="412">
        <v>0.6</v>
      </c>
      <c r="AZ30" s="1170">
        <v>0.03</v>
      </c>
      <c r="BA30" s="245">
        <v>0.6</v>
      </c>
      <c r="BB30" s="412" t="s">
        <v>279</v>
      </c>
      <c r="BC30" s="1162"/>
      <c r="BD30" s="1148">
        <v>15.018773466833538</v>
      </c>
      <c r="BE30" s="245">
        <v>0.19975000000000004</v>
      </c>
      <c r="BF30" s="245">
        <v>0.03</v>
      </c>
      <c r="BG30" s="245">
        <v>0.6</v>
      </c>
      <c r="BH30" s="245">
        <v>0.03</v>
      </c>
      <c r="BI30" s="245">
        <v>0.6</v>
      </c>
      <c r="BJ30" s="412" t="s">
        <v>279</v>
      </c>
      <c r="BK30" s="1162"/>
      <c r="BL30" s="1148">
        <v>0</v>
      </c>
      <c r="BM30" s="245"/>
      <c r="BN30" s="245">
        <v>0.03</v>
      </c>
      <c r="BO30" s="245">
        <v>0.6</v>
      </c>
      <c r="BP30" s="245">
        <v>0.03</v>
      </c>
      <c r="BQ30" s="245">
        <v>0.6</v>
      </c>
      <c r="BR30" s="412" t="s">
        <v>279</v>
      </c>
      <c r="BS30" s="1162"/>
      <c r="BT30" s="1148">
        <v>0</v>
      </c>
      <c r="BU30" s="1169">
        <v>6.6583333333333342E-2</v>
      </c>
      <c r="BV30" s="1161">
        <v>0</v>
      </c>
      <c r="BW30" s="412">
        <v>0</v>
      </c>
      <c r="BX30" s="1170">
        <v>0.03</v>
      </c>
      <c r="BY30" s="245">
        <v>0.6</v>
      </c>
      <c r="BZ30" s="412" t="s">
        <v>279</v>
      </c>
      <c r="CA30" s="1162"/>
      <c r="CB30" s="1148">
        <v>75.093867334167712</v>
      </c>
      <c r="CC30" s="1169">
        <v>6.6583333333333342E-2</v>
      </c>
      <c r="CD30" s="1161">
        <v>0.05</v>
      </c>
      <c r="CE30" s="245">
        <v>1</v>
      </c>
      <c r="CF30" s="245">
        <v>0.08</v>
      </c>
      <c r="CG30" s="245">
        <v>1.6</v>
      </c>
      <c r="CH30" s="412" t="s">
        <v>279</v>
      </c>
      <c r="CI30" s="1162"/>
      <c r="CJ30" s="1148">
        <v>101.37672090112639</v>
      </c>
      <c r="CK30" s="1161">
        <v>8.8777777777777789E-2</v>
      </c>
      <c r="CL30" s="1161">
        <v>0.09</v>
      </c>
      <c r="CM30" s="245">
        <v>1.7999999999999998</v>
      </c>
      <c r="CN30" s="245">
        <v>0.16999999999999998</v>
      </c>
      <c r="CO30" s="245">
        <v>3.3999999999999995</v>
      </c>
      <c r="CP30" s="412" t="s">
        <v>279</v>
      </c>
      <c r="CQ30" s="1162"/>
      <c r="CR30" s="1148">
        <v>63.078848560700877</v>
      </c>
      <c r="CS30" s="245">
        <v>0.22194444444444447</v>
      </c>
      <c r="CT30" s="245">
        <v>0.14000000000000001</v>
      </c>
      <c r="CU30" s="245">
        <v>2.8000000000000003</v>
      </c>
      <c r="CV30" s="245">
        <v>0.16999999999999998</v>
      </c>
      <c r="CW30" s="245">
        <v>3.3999999999999995</v>
      </c>
      <c r="CX30" s="412" t="s">
        <v>279</v>
      </c>
      <c r="CY30" s="1162"/>
      <c r="CZ30" s="1148">
        <v>0</v>
      </c>
      <c r="DA30" s="245"/>
      <c r="DB30" s="245">
        <v>0.17</v>
      </c>
      <c r="DC30" s="245">
        <v>3.4000000000000004</v>
      </c>
      <c r="DD30" s="245">
        <v>0.16999999999999998</v>
      </c>
      <c r="DE30" s="245">
        <v>3.3999999999999995</v>
      </c>
      <c r="DF30" s="412" t="s">
        <v>279</v>
      </c>
      <c r="DG30" s="1162"/>
      <c r="DH30" s="1148">
        <v>106.44555694618272</v>
      </c>
      <c r="DI30" s="1161">
        <v>8.8777777777777789E-2</v>
      </c>
      <c r="DJ30" s="1161">
        <v>9.4500000000000001E-2</v>
      </c>
      <c r="DK30" s="245">
        <v>1.8900000000000001</v>
      </c>
      <c r="DL30" s="245">
        <v>0.26449999999999996</v>
      </c>
      <c r="DM30" s="245">
        <v>5.2899999999999991</v>
      </c>
      <c r="DN30" s="412" t="s">
        <v>279</v>
      </c>
      <c r="DO30" s="1162"/>
      <c r="DP30" s="1148">
        <v>0</v>
      </c>
      <c r="DQ30" s="1161">
        <v>8.8777777777777789E-2</v>
      </c>
      <c r="DR30" s="1161"/>
      <c r="DS30" s="245">
        <v>0</v>
      </c>
      <c r="DT30" s="245">
        <v>0.26449999999999996</v>
      </c>
      <c r="DU30" s="245">
        <v>5.2899999999999991</v>
      </c>
      <c r="DV30" s="412" t="s">
        <v>279</v>
      </c>
      <c r="DW30" s="1162"/>
      <c r="DX30" s="1148">
        <v>0</v>
      </c>
      <c r="DY30" s="1161">
        <v>8.8777777777777789E-2</v>
      </c>
      <c r="DZ30" s="1161"/>
      <c r="EA30" s="245">
        <v>0</v>
      </c>
      <c r="EB30" s="245">
        <v>0.26449999999999996</v>
      </c>
      <c r="EC30" s="295">
        <v>5.2899999999999991</v>
      </c>
      <c r="ED30" s="1171" t="s">
        <v>279</v>
      </c>
      <c r="EE30" s="323"/>
      <c r="EF30" s="1148">
        <v>35.481852315394242</v>
      </c>
      <c r="EG30" s="245">
        <v>0.26633333333333337</v>
      </c>
      <c r="EH30" s="245">
        <v>9.4500000000000001E-2</v>
      </c>
      <c r="EI30" s="252">
        <v>1.8900000000000001</v>
      </c>
      <c r="EJ30" s="245">
        <v>0.26449999999999996</v>
      </c>
      <c r="EK30" s="295">
        <v>5.2899999999999991</v>
      </c>
      <c r="EL30" s="246" t="s">
        <v>279</v>
      </c>
      <c r="EM30" s="323"/>
      <c r="EN30" s="1148">
        <v>48.025941517806345</v>
      </c>
      <c r="EO30" s="245">
        <v>0.48827777777777781</v>
      </c>
      <c r="EP30" s="245">
        <v>0.23450000000000001</v>
      </c>
      <c r="EQ30" s="252">
        <v>4.6900000000000004</v>
      </c>
      <c r="ER30" s="245">
        <v>0.26449999999999996</v>
      </c>
      <c r="ES30" s="295">
        <v>5.2899999999999991</v>
      </c>
      <c r="ET30" s="246" t="s">
        <v>279</v>
      </c>
      <c r="EU30" s="323"/>
      <c r="EV30" s="1148">
        <v>54.169985208783714</v>
      </c>
      <c r="EW30" s="245">
        <v>0.48827777777777781</v>
      </c>
      <c r="EX30" s="245">
        <v>0.26450000000000001</v>
      </c>
      <c r="EY30" s="252">
        <v>5.29</v>
      </c>
      <c r="EZ30" s="245">
        <v>0.26449999999999996</v>
      </c>
      <c r="FA30" s="295">
        <v>5.2899999999999991</v>
      </c>
      <c r="FB30" s="1171" t="s">
        <v>279</v>
      </c>
    </row>
    <row r="31" spans="1:158" s="166" customFormat="1" ht="30" customHeight="1">
      <c r="A31" s="1733"/>
      <c r="B31" s="1733"/>
      <c r="C31" s="1737"/>
      <c r="D31" s="191" t="s">
        <v>86</v>
      </c>
      <c r="E31" s="886" t="s">
        <v>74</v>
      </c>
      <c r="F31" s="873">
        <v>30</v>
      </c>
      <c r="G31" s="874">
        <v>20</v>
      </c>
      <c r="H31" s="935"/>
      <c r="I31" s="469">
        <v>0.5</v>
      </c>
      <c r="J31" s="252">
        <v>0</v>
      </c>
      <c r="K31" s="694">
        <v>0</v>
      </c>
      <c r="L31" s="936"/>
      <c r="M31" s="294">
        <v>15</v>
      </c>
      <c r="N31" s="694">
        <v>15.5</v>
      </c>
      <c r="O31" s="936"/>
      <c r="P31" s="465">
        <v>0</v>
      </c>
      <c r="Q31" s="245">
        <v>0</v>
      </c>
      <c r="R31" s="412">
        <v>0</v>
      </c>
      <c r="S31" s="938"/>
      <c r="T31" s="465">
        <v>0</v>
      </c>
      <c r="U31" s="245">
        <v>0</v>
      </c>
      <c r="V31" s="412">
        <v>0</v>
      </c>
      <c r="W31" s="1159"/>
      <c r="X31" s="465">
        <v>0</v>
      </c>
      <c r="Y31" s="245">
        <v>0</v>
      </c>
      <c r="Z31" s="412">
        <v>0</v>
      </c>
      <c r="AA31" s="1159"/>
      <c r="AB31" s="465">
        <v>0</v>
      </c>
      <c r="AC31" s="245">
        <v>0</v>
      </c>
      <c r="AD31" s="412">
        <v>0</v>
      </c>
      <c r="AE31" s="1159"/>
      <c r="AF31" s="1148">
        <v>0</v>
      </c>
      <c r="AG31" s="1169">
        <v>5</v>
      </c>
      <c r="AH31" s="1169">
        <v>0</v>
      </c>
      <c r="AI31" s="245">
        <v>0</v>
      </c>
      <c r="AJ31" s="245">
        <v>0</v>
      </c>
      <c r="AK31" s="245">
        <v>0</v>
      </c>
      <c r="AL31" s="412" t="s">
        <v>279</v>
      </c>
      <c r="AM31" s="1162"/>
      <c r="AN31" s="1148">
        <v>0</v>
      </c>
      <c r="AO31" s="1169">
        <v>5</v>
      </c>
      <c r="AP31" s="1169">
        <v>0</v>
      </c>
      <c r="AQ31" s="245">
        <v>0</v>
      </c>
      <c r="AR31" s="245">
        <v>0</v>
      </c>
      <c r="AS31" s="245">
        <v>0</v>
      </c>
      <c r="AT31" s="412" t="s">
        <v>279</v>
      </c>
      <c r="AU31" s="1162"/>
      <c r="AV31" s="1148">
        <v>0</v>
      </c>
      <c r="AW31" s="1161">
        <v>5</v>
      </c>
      <c r="AX31" s="1161">
        <v>0</v>
      </c>
      <c r="AY31" s="412">
        <v>0</v>
      </c>
      <c r="AZ31" s="1170">
        <v>0</v>
      </c>
      <c r="BA31" s="245">
        <v>0</v>
      </c>
      <c r="BB31" s="412" t="s">
        <v>279</v>
      </c>
      <c r="BC31" s="1162"/>
      <c r="BD31" s="1148">
        <v>0</v>
      </c>
      <c r="BE31" s="245">
        <v>15</v>
      </c>
      <c r="BF31" s="245">
        <v>0</v>
      </c>
      <c r="BG31" s="245">
        <v>0</v>
      </c>
      <c r="BH31" s="245">
        <v>0</v>
      </c>
      <c r="BI31" s="245">
        <v>0</v>
      </c>
      <c r="BJ31" s="412" t="s">
        <v>279</v>
      </c>
      <c r="BK31" s="1162"/>
      <c r="BL31" s="1148">
        <v>0</v>
      </c>
      <c r="BM31" s="245"/>
      <c r="BN31" s="245">
        <v>0</v>
      </c>
      <c r="BO31" s="245">
        <v>0</v>
      </c>
      <c r="BP31" s="245">
        <v>0</v>
      </c>
      <c r="BQ31" s="245">
        <v>0</v>
      </c>
      <c r="BR31" s="412" t="s">
        <v>279</v>
      </c>
      <c r="BS31" s="1162"/>
      <c r="BT31" s="1148">
        <v>0</v>
      </c>
      <c r="BU31" s="1161">
        <v>0</v>
      </c>
      <c r="BV31" s="1161">
        <v>0</v>
      </c>
      <c r="BW31" s="412">
        <v>0</v>
      </c>
      <c r="BX31" s="1170">
        <v>0</v>
      </c>
      <c r="BY31" s="245">
        <v>0</v>
      </c>
      <c r="BZ31" s="412" t="s">
        <v>279</v>
      </c>
      <c r="CA31" s="1162"/>
      <c r="CB31" s="1148">
        <v>0</v>
      </c>
      <c r="CC31" s="1161">
        <v>0</v>
      </c>
      <c r="CD31" s="1161">
        <v>0</v>
      </c>
      <c r="CE31" s="245">
        <v>0</v>
      </c>
      <c r="CF31" s="245">
        <v>0</v>
      </c>
      <c r="CG31" s="245">
        <v>0</v>
      </c>
      <c r="CH31" s="412" t="s">
        <v>279</v>
      </c>
      <c r="CI31" s="1162"/>
      <c r="CJ31" s="1148">
        <v>0</v>
      </c>
      <c r="CK31" s="1161">
        <v>1.7222222222222223</v>
      </c>
      <c r="CL31" s="1161">
        <v>0</v>
      </c>
      <c r="CM31" s="245">
        <v>0</v>
      </c>
      <c r="CN31" s="245">
        <v>0</v>
      </c>
      <c r="CO31" s="245">
        <v>0</v>
      </c>
      <c r="CP31" s="412" t="s">
        <v>279</v>
      </c>
      <c r="CQ31" s="1162"/>
      <c r="CR31" s="1148">
        <v>0</v>
      </c>
      <c r="CS31" s="245">
        <v>1.7222222222222223</v>
      </c>
      <c r="CT31" s="245">
        <v>0</v>
      </c>
      <c r="CU31" s="245">
        <v>0</v>
      </c>
      <c r="CV31" s="245">
        <v>0</v>
      </c>
      <c r="CW31" s="245">
        <v>0</v>
      </c>
      <c r="CX31" s="412" t="s">
        <v>279</v>
      </c>
      <c r="CY31" s="1162"/>
      <c r="CZ31" s="1148">
        <v>0</v>
      </c>
      <c r="DA31" s="245"/>
      <c r="DB31" s="245">
        <v>0</v>
      </c>
      <c r="DC31" s="245">
        <v>0</v>
      </c>
      <c r="DD31" s="245">
        <v>0</v>
      </c>
      <c r="DE31" s="245">
        <v>0</v>
      </c>
      <c r="DF31" s="412" t="s">
        <v>279</v>
      </c>
      <c r="DG31" s="1162"/>
      <c r="DH31" s="1148">
        <v>0</v>
      </c>
      <c r="DI31" s="1161">
        <v>1.7222222222222223</v>
      </c>
      <c r="DJ31" s="1161">
        <v>0</v>
      </c>
      <c r="DK31" s="245">
        <v>0</v>
      </c>
      <c r="DL31" s="245">
        <v>0</v>
      </c>
      <c r="DM31" s="245">
        <v>0</v>
      </c>
      <c r="DN31" s="412" t="s">
        <v>279</v>
      </c>
      <c r="DO31" s="1162"/>
      <c r="DP31" s="1148">
        <v>0</v>
      </c>
      <c r="DQ31" s="1161">
        <v>1.7222222222222223</v>
      </c>
      <c r="DR31" s="1161"/>
      <c r="DS31" s="245">
        <v>0</v>
      </c>
      <c r="DT31" s="245">
        <v>0</v>
      </c>
      <c r="DU31" s="245">
        <v>0</v>
      </c>
      <c r="DV31" s="412" t="s">
        <v>279</v>
      </c>
      <c r="DW31" s="1162"/>
      <c r="DX31" s="1148">
        <v>0</v>
      </c>
      <c r="DY31" s="1161">
        <v>1.7222222222222223</v>
      </c>
      <c r="DZ31" s="1161"/>
      <c r="EA31" s="245">
        <v>0</v>
      </c>
      <c r="EB31" s="245">
        <v>0</v>
      </c>
      <c r="EC31" s="295">
        <v>0</v>
      </c>
      <c r="ED31" s="1171" t="s">
        <v>279</v>
      </c>
      <c r="EE31" s="323"/>
      <c r="EF31" s="1148">
        <v>0</v>
      </c>
      <c r="EG31" s="245">
        <v>5.166666666666667</v>
      </c>
      <c r="EH31" s="245">
        <v>0</v>
      </c>
      <c r="EI31" s="252">
        <v>0</v>
      </c>
      <c r="EJ31" s="245">
        <v>0</v>
      </c>
      <c r="EK31" s="295">
        <v>0</v>
      </c>
      <c r="EL31" s="246" t="s">
        <v>279</v>
      </c>
      <c r="EM31" s="323"/>
      <c r="EN31" s="1148">
        <v>0</v>
      </c>
      <c r="EO31" s="245">
        <v>6.8888888888888893</v>
      </c>
      <c r="EP31" s="245">
        <v>0</v>
      </c>
      <c r="EQ31" s="252">
        <v>0</v>
      </c>
      <c r="ER31" s="245">
        <v>0</v>
      </c>
      <c r="ES31" s="295">
        <v>0</v>
      </c>
      <c r="ET31" s="246" t="s">
        <v>279</v>
      </c>
      <c r="EU31" s="323"/>
      <c r="EV31" s="1148">
        <v>0</v>
      </c>
      <c r="EW31" s="245">
        <v>6.8888888888888893</v>
      </c>
      <c r="EX31" s="245">
        <v>0</v>
      </c>
      <c r="EY31" s="252">
        <v>0</v>
      </c>
      <c r="EZ31" s="245">
        <v>0</v>
      </c>
      <c r="FA31" s="295">
        <v>0</v>
      </c>
      <c r="FB31" s="1171" t="s">
        <v>279</v>
      </c>
    </row>
    <row r="32" spans="1:158" s="166" customFormat="1" ht="30" customHeight="1">
      <c r="A32" s="1733"/>
      <c r="B32" s="1733"/>
      <c r="C32" s="1737"/>
      <c r="D32" s="191" t="s">
        <v>68</v>
      </c>
      <c r="E32" s="886" t="s">
        <v>74</v>
      </c>
      <c r="F32" s="873">
        <v>30</v>
      </c>
      <c r="G32" s="874">
        <v>30</v>
      </c>
      <c r="H32" s="935"/>
      <c r="I32" s="469">
        <v>0.5</v>
      </c>
      <c r="J32" s="252">
        <v>0</v>
      </c>
      <c r="K32" s="694">
        <v>0</v>
      </c>
      <c r="L32" s="936"/>
      <c r="M32" s="294">
        <v>15</v>
      </c>
      <c r="N32" s="694">
        <v>15.5</v>
      </c>
      <c r="O32" s="936"/>
      <c r="P32" s="465">
        <v>0</v>
      </c>
      <c r="Q32" s="245">
        <v>0</v>
      </c>
      <c r="R32" s="412">
        <v>0</v>
      </c>
      <c r="S32" s="938"/>
      <c r="T32" s="465">
        <v>0</v>
      </c>
      <c r="U32" s="245">
        <v>0</v>
      </c>
      <c r="V32" s="412">
        <v>0</v>
      </c>
      <c r="W32" s="1159"/>
      <c r="X32" s="465">
        <v>0</v>
      </c>
      <c r="Y32" s="245">
        <v>0</v>
      </c>
      <c r="Z32" s="412">
        <v>0</v>
      </c>
      <c r="AA32" s="1159"/>
      <c r="AB32" s="465">
        <v>0</v>
      </c>
      <c r="AC32" s="245">
        <v>0</v>
      </c>
      <c r="AD32" s="412">
        <v>0</v>
      </c>
      <c r="AE32" s="1159"/>
      <c r="AF32" s="1148">
        <v>0</v>
      </c>
      <c r="AG32" s="1169">
        <v>5</v>
      </c>
      <c r="AH32" s="1169">
        <v>0</v>
      </c>
      <c r="AI32" s="245">
        <v>0</v>
      </c>
      <c r="AJ32" s="245">
        <v>0</v>
      </c>
      <c r="AK32" s="245">
        <v>0</v>
      </c>
      <c r="AL32" s="412" t="s">
        <v>279</v>
      </c>
      <c r="AM32" s="1162"/>
      <c r="AN32" s="1148">
        <v>0</v>
      </c>
      <c r="AO32" s="1169">
        <v>5</v>
      </c>
      <c r="AP32" s="1169">
        <v>0</v>
      </c>
      <c r="AQ32" s="245">
        <v>0</v>
      </c>
      <c r="AR32" s="245">
        <v>0</v>
      </c>
      <c r="AS32" s="245">
        <v>0</v>
      </c>
      <c r="AT32" s="412" t="s">
        <v>279</v>
      </c>
      <c r="AU32" s="1162"/>
      <c r="AV32" s="1148">
        <v>0</v>
      </c>
      <c r="AW32" s="1161">
        <v>5</v>
      </c>
      <c r="AX32" s="1161">
        <v>0</v>
      </c>
      <c r="AY32" s="412">
        <v>0</v>
      </c>
      <c r="AZ32" s="1170">
        <v>0</v>
      </c>
      <c r="BA32" s="245">
        <v>0</v>
      </c>
      <c r="BB32" s="412" t="s">
        <v>279</v>
      </c>
      <c r="BC32" s="1162"/>
      <c r="BD32" s="1148">
        <v>0</v>
      </c>
      <c r="BE32" s="245">
        <v>15</v>
      </c>
      <c r="BF32" s="245">
        <v>0</v>
      </c>
      <c r="BG32" s="245">
        <v>0</v>
      </c>
      <c r="BH32" s="245">
        <v>0</v>
      </c>
      <c r="BI32" s="245">
        <v>0</v>
      </c>
      <c r="BJ32" s="412" t="s">
        <v>279</v>
      </c>
      <c r="BK32" s="1162"/>
      <c r="BL32" s="1148">
        <v>0</v>
      </c>
      <c r="BM32" s="245"/>
      <c r="BN32" s="245">
        <v>0</v>
      </c>
      <c r="BO32" s="245">
        <v>0</v>
      </c>
      <c r="BP32" s="245">
        <v>0</v>
      </c>
      <c r="BQ32" s="245">
        <v>0</v>
      </c>
      <c r="BR32" s="412" t="s">
        <v>279</v>
      </c>
      <c r="BS32" s="1162"/>
      <c r="BT32" s="1148">
        <v>0</v>
      </c>
      <c r="BU32" s="1161">
        <v>0</v>
      </c>
      <c r="BV32" s="1161">
        <v>0</v>
      </c>
      <c r="BW32" s="412">
        <v>0</v>
      </c>
      <c r="BX32" s="1170">
        <v>0</v>
      </c>
      <c r="BY32" s="245">
        <v>0</v>
      </c>
      <c r="BZ32" s="412" t="s">
        <v>279</v>
      </c>
      <c r="CA32" s="1162"/>
      <c r="CB32" s="1148">
        <v>0</v>
      </c>
      <c r="CC32" s="1161">
        <v>0</v>
      </c>
      <c r="CD32" s="1161">
        <v>0</v>
      </c>
      <c r="CE32" s="245">
        <v>0</v>
      </c>
      <c r="CF32" s="245">
        <v>0</v>
      </c>
      <c r="CG32" s="245">
        <v>0</v>
      </c>
      <c r="CH32" s="412" t="s">
        <v>279</v>
      </c>
      <c r="CI32" s="1162"/>
      <c r="CJ32" s="1148">
        <v>0</v>
      </c>
      <c r="CK32" s="1161">
        <v>1.7222222222222223</v>
      </c>
      <c r="CL32" s="1161">
        <v>0</v>
      </c>
      <c r="CM32" s="245">
        <v>0</v>
      </c>
      <c r="CN32" s="245">
        <v>0</v>
      </c>
      <c r="CO32" s="245">
        <v>0</v>
      </c>
      <c r="CP32" s="412" t="s">
        <v>279</v>
      </c>
      <c r="CQ32" s="1162"/>
      <c r="CR32" s="1148">
        <v>0</v>
      </c>
      <c r="CS32" s="245">
        <v>1.7222222222222223</v>
      </c>
      <c r="CT32" s="245">
        <v>0</v>
      </c>
      <c r="CU32" s="245">
        <v>0</v>
      </c>
      <c r="CV32" s="245">
        <v>0</v>
      </c>
      <c r="CW32" s="245">
        <v>0</v>
      </c>
      <c r="CX32" s="412" t="s">
        <v>279</v>
      </c>
      <c r="CY32" s="1162"/>
      <c r="CZ32" s="1148">
        <v>0</v>
      </c>
      <c r="DA32" s="245"/>
      <c r="DB32" s="245">
        <v>0</v>
      </c>
      <c r="DC32" s="245">
        <v>0</v>
      </c>
      <c r="DD32" s="245">
        <v>0</v>
      </c>
      <c r="DE32" s="245">
        <v>0</v>
      </c>
      <c r="DF32" s="412" t="s">
        <v>279</v>
      </c>
      <c r="DG32" s="1162"/>
      <c r="DH32" s="1148">
        <v>0</v>
      </c>
      <c r="DI32" s="1161">
        <v>1.7222222222222223</v>
      </c>
      <c r="DJ32" s="1161">
        <v>0</v>
      </c>
      <c r="DK32" s="245">
        <v>0</v>
      </c>
      <c r="DL32" s="245">
        <v>0</v>
      </c>
      <c r="DM32" s="245">
        <v>0</v>
      </c>
      <c r="DN32" s="412" t="s">
        <v>279</v>
      </c>
      <c r="DO32" s="1162"/>
      <c r="DP32" s="1148">
        <v>0</v>
      </c>
      <c r="DQ32" s="1161">
        <v>1.7222222222222223</v>
      </c>
      <c r="DR32" s="1161"/>
      <c r="DS32" s="245">
        <v>0</v>
      </c>
      <c r="DT32" s="245">
        <v>0</v>
      </c>
      <c r="DU32" s="245">
        <v>0</v>
      </c>
      <c r="DV32" s="412" t="s">
        <v>279</v>
      </c>
      <c r="DW32" s="1162"/>
      <c r="DX32" s="1148">
        <v>0</v>
      </c>
      <c r="DY32" s="1161">
        <v>1.7222222222222223</v>
      </c>
      <c r="DZ32" s="1161"/>
      <c r="EA32" s="245">
        <v>0</v>
      </c>
      <c r="EB32" s="245">
        <v>0</v>
      </c>
      <c r="EC32" s="295">
        <v>0</v>
      </c>
      <c r="ED32" s="1171" t="s">
        <v>279</v>
      </c>
      <c r="EE32" s="323"/>
      <c r="EF32" s="1148">
        <v>0</v>
      </c>
      <c r="EG32" s="245">
        <v>5.166666666666667</v>
      </c>
      <c r="EH32" s="245">
        <v>0</v>
      </c>
      <c r="EI32" s="252">
        <v>0</v>
      </c>
      <c r="EJ32" s="245">
        <v>0</v>
      </c>
      <c r="EK32" s="295">
        <v>0</v>
      </c>
      <c r="EL32" s="246" t="s">
        <v>279</v>
      </c>
      <c r="EM32" s="323"/>
      <c r="EN32" s="1148">
        <v>0</v>
      </c>
      <c r="EO32" s="245">
        <v>6.8888888888888893</v>
      </c>
      <c r="EP32" s="245">
        <v>0</v>
      </c>
      <c r="EQ32" s="252">
        <v>0</v>
      </c>
      <c r="ER32" s="245">
        <v>0</v>
      </c>
      <c r="ES32" s="295">
        <v>0</v>
      </c>
      <c r="ET32" s="246" t="s">
        <v>279</v>
      </c>
      <c r="EU32" s="323"/>
      <c r="EV32" s="1148">
        <v>0</v>
      </c>
      <c r="EW32" s="245">
        <v>6.8888888888888893</v>
      </c>
      <c r="EX32" s="245">
        <v>0</v>
      </c>
      <c r="EY32" s="252">
        <v>0</v>
      </c>
      <c r="EZ32" s="245">
        <v>0</v>
      </c>
      <c r="FA32" s="295">
        <v>0</v>
      </c>
      <c r="FB32" s="1171" t="s">
        <v>279</v>
      </c>
    </row>
    <row r="33" spans="1:158" s="166" customFormat="1" ht="30" customHeight="1" thickBot="1">
      <c r="A33" s="1749"/>
      <c r="B33" s="1749"/>
      <c r="C33" s="1751"/>
      <c r="D33" s="193" t="s">
        <v>14</v>
      </c>
      <c r="E33" s="889"/>
      <c r="F33" s="877" t="s">
        <v>4</v>
      </c>
      <c r="G33" s="877">
        <v>100</v>
      </c>
      <c r="H33" s="935"/>
      <c r="I33" s="470"/>
      <c r="J33" s="257"/>
      <c r="K33" s="258">
        <v>5.4</v>
      </c>
      <c r="L33" s="936"/>
      <c r="M33" s="981"/>
      <c r="N33" s="270"/>
      <c r="O33" s="936"/>
      <c r="P33" s="466" t="s">
        <v>4</v>
      </c>
      <c r="Q33" s="490" t="s">
        <v>4</v>
      </c>
      <c r="R33" s="854">
        <v>0</v>
      </c>
      <c r="S33" s="938"/>
      <c r="T33" s="466"/>
      <c r="U33" s="490" t="s">
        <v>4</v>
      </c>
      <c r="V33" s="854">
        <v>0</v>
      </c>
      <c r="W33" s="1159"/>
      <c r="X33" s="466"/>
      <c r="Y33" s="490" t="s">
        <v>4</v>
      </c>
      <c r="Z33" s="854">
        <v>0</v>
      </c>
      <c r="AA33" s="1159"/>
      <c r="AB33" s="466"/>
      <c r="AC33" s="490" t="s">
        <v>4</v>
      </c>
      <c r="AD33" s="854">
        <v>0</v>
      </c>
      <c r="AE33" s="1159"/>
      <c r="AF33" s="1173"/>
      <c r="AG33" s="1174"/>
      <c r="AH33" s="1174"/>
      <c r="AI33" s="490">
        <v>0</v>
      </c>
      <c r="AJ33" s="939"/>
      <c r="AK33" s="490">
        <v>0</v>
      </c>
      <c r="AL33" s="1176"/>
      <c r="AM33" s="1162"/>
      <c r="AN33" s="1173"/>
      <c r="AO33" s="1174"/>
      <c r="AP33" s="1174"/>
      <c r="AQ33" s="854">
        <v>0</v>
      </c>
      <c r="AR33" s="939"/>
      <c r="AS33" s="490">
        <v>0</v>
      </c>
      <c r="AT33" s="1176"/>
      <c r="AU33" s="1162"/>
      <c r="AV33" s="1173"/>
      <c r="AW33" s="1174"/>
      <c r="AX33" s="1174"/>
      <c r="AY33" s="854">
        <v>3.6</v>
      </c>
      <c r="AZ33" s="940"/>
      <c r="BA33" s="490">
        <v>3.6</v>
      </c>
      <c r="BB33" s="1176"/>
      <c r="BC33" s="1162"/>
      <c r="BD33" s="1173"/>
      <c r="BE33" s="939"/>
      <c r="BF33" s="939"/>
      <c r="BG33" s="854">
        <v>3.6</v>
      </c>
      <c r="BH33" s="939"/>
      <c r="BI33" s="490">
        <v>3.6</v>
      </c>
      <c r="BJ33" s="1176"/>
      <c r="BK33" s="1162"/>
      <c r="BL33" s="1173"/>
      <c r="BM33" s="939"/>
      <c r="BN33" s="939"/>
      <c r="BO33" s="854">
        <v>3.6</v>
      </c>
      <c r="BP33" s="939"/>
      <c r="BQ33" s="490">
        <v>3.6</v>
      </c>
      <c r="BR33" s="1176"/>
      <c r="BS33" s="1162"/>
      <c r="BT33" s="1173"/>
      <c r="BU33" s="939"/>
      <c r="BV33" s="939"/>
      <c r="BW33" s="854">
        <v>0</v>
      </c>
      <c r="BX33" s="940"/>
      <c r="BY33" s="490">
        <v>3.6</v>
      </c>
      <c r="BZ33" s="1176"/>
      <c r="CA33" s="1162"/>
      <c r="CB33" s="1173"/>
      <c r="CC33" s="939"/>
      <c r="CD33" s="939"/>
      <c r="CE33" s="854">
        <v>2.5</v>
      </c>
      <c r="CF33" s="939"/>
      <c r="CG33" s="490">
        <v>6.1000000000000014</v>
      </c>
      <c r="CH33" s="1176"/>
      <c r="CI33" s="1162"/>
      <c r="CJ33" s="1173"/>
      <c r="CK33" s="939"/>
      <c r="CL33" s="939"/>
      <c r="CM33" s="854">
        <v>6.7</v>
      </c>
      <c r="CN33" s="939"/>
      <c r="CO33" s="490">
        <v>12.8</v>
      </c>
      <c r="CP33" s="1176"/>
      <c r="CQ33" s="1162"/>
      <c r="CR33" s="1173"/>
      <c r="CS33" s="939"/>
      <c r="CT33" s="939"/>
      <c r="CU33" s="854">
        <v>9.2000000000000011</v>
      </c>
      <c r="CV33" s="939"/>
      <c r="CW33" s="490">
        <v>12.8</v>
      </c>
      <c r="CX33" s="1176"/>
      <c r="CY33" s="1162"/>
      <c r="CZ33" s="1173"/>
      <c r="DA33" s="939"/>
      <c r="DB33" s="939"/>
      <c r="DC33" s="854">
        <v>12.800000000000002</v>
      </c>
      <c r="DD33" s="939"/>
      <c r="DE33" s="490">
        <v>12.8</v>
      </c>
      <c r="DF33" s="1176"/>
      <c r="DG33" s="1162"/>
      <c r="DH33" s="1173"/>
      <c r="DI33" s="939"/>
      <c r="DJ33" s="939"/>
      <c r="DK33" s="854">
        <v>7.0350000000000001</v>
      </c>
      <c r="DL33" s="939"/>
      <c r="DM33" s="490">
        <v>19.835000000000001</v>
      </c>
      <c r="DN33" s="1176"/>
      <c r="DO33" s="1162"/>
      <c r="DP33" s="1173"/>
      <c r="DQ33" s="939"/>
      <c r="DR33" s="939"/>
      <c r="DS33" s="854">
        <v>0</v>
      </c>
      <c r="DT33" s="939"/>
      <c r="DU33" s="490">
        <v>19.835000000000001</v>
      </c>
      <c r="DV33" s="1176"/>
      <c r="DW33" s="1162"/>
      <c r="DX33" s="1173"/>
      <c r="DY33" s="939"/>
      <c r="DZ33" s="939"/>
      <c r="EA33" s="854">
        <v>0</v>
      </c>
      <c r="EB33" s="261"/>
      <c r="EC33" s="260">
        <v>19.835000000000001</v>
      </c>
      <c r="ED33" s="1177"/>
      <c r="EE33" s="323"/>
      <c r="EF33" s="1173"/>
      <c r="EG33" s="261"/>
      <c r="EH33" s="261"/>
      <c r="EI33" s="259">
        <v>7.0350000000000001</v>
      </c>
      <c r="EJ33" s="261"/>
      <c r="EK33" s="260">
        <v>19.835000000000001</v>
      </c>
      <c r="EL33" s="1177"/>
      <c r="EM33" s="323"/>
      <c r="EN33" s="1173"/>
      <c r="EO33" s="261"/>
      <c r="EP33" s="261"/>
      <c r="EQ33" s="259">
        <v>16.235000000000003</v>
      </c>
      <c r="ER33" s="261"/>
      <c r="ES33" s="260">
        <v>19.835000000000001</v>
      </c>
      <c r="ET33" s="1177"/>
      <c r="EU33" s="323"/>
      <c r="EV33" s="1173"/>
      <c r="EW33" s="261"/>
      <c r="EX33" s="261"/>
      <c r="EY33" s="259">
        <v>19.834999999999997</v>
      </c>
      <c r="EZ33" s="261"/>
      <c r="FA33" s="260">
        <v>19.835000000000001</v>
      </c>
      <c r="FB33" s="1177"/>
    </row>
    <row r="34" spans="1:158" s="166" customFormat="1" ht="30" customHeight="1">
      <c r="A34" s="1732" t="s">
        <v>36</v>
      </c>
      <c r="B34" s="1732" t="s">
        <v>36</v>
      </c>
      <c r="C34" s="1736" t="s">
        <v>178</v>
      </c>
      <c r="D34" s="194" t="s">
        <v>191</v>
      </c>
      <c r="E34" s="890" t="s">
        <v>791</v>
      </c>
      <c r="F34" s="879">
        <v>1</v>
      </c>
      <c r="G34" s="879">
        <v>10</v>
      </c>
      <c r="H34" s="935"/>
      <c r="I34" s="468">
        <v>1</v>
      </c>
      <c r="J34" s="241">
        <v>2.5000000000000001E-2</v>
      </c>
      <c r="K34" s="693">
        <v>2.5</v>
      </c>
      <c r="L34" s="936"/>
      <c r="M34" s="289">
        <v>1</v>
      </c>
      <c r="N34" s="1163">
        <v>1.9750000000000001</v>
      </c>
      <c r="O34" s="936"/>
      <c r="P34" s="852">
        <v>0</v>
      </c>
      <c r="Q34" s="243">
        <v>0</v>
      </c>
      <c r="R34" s="412">
        <v>0</v>
      </c>
      <c r="S34" s="938"/>
      <c r="T34" s="852">
        <v>0</v>
      </c>
      <c r="U34" s="245">
        <v>0</v>
      </c>
      <c r="V34" s="412">
        <v>0</v>
      </c>
      <c r="W34" s="1159"/>
      <c r="X34" s="465">
        <v>0</v>
      </c>
      <c r="Y34" s="245">
        <v>0</v>
      </c>
      <c r="Z34" s="412">
        <v>0</v>
      </c>
      <c r="AA34" s="1159"/>
      <c r="AB34" s="465">
        <v>0</v>
      </c>
      <c r="AC34" s="245">
        <v>0</v>
      </c>
      <c r="AD34" s="412">
        <v>0</v>
      </c>
      <c r="AE34" s="1159"/>
      <c r="AF34" s="1148">
        <v>0</v>
      </c>
      <c r="AG34" s="1169">
        <v>0.16458333333333333</v>
      </c>
      <c r="AH34" s="1169">
        <v>0</v>
      </c>
      <c r="AI34" s="243">
        <v>0</v>
      </c>
      <c r="AJ34" s="243">
        <v>0</v>
      </c>
      <c r="AK34" s="243">
        <v>0</v>
      </c>
      <c r="AL34" s="411" t="s">
        <v>279</v>
      </c>
      <c r="AM34" s="1162"/>
      <c r="AN34" s="1148">
        <v>0</v>
      </c>
      <c r="AO34" s="1169">
        <v>0.16458333333333333</v>
      </c>
      <c r="AP34" s="1169">
        <v>0</v>
      </c>
      <c r="AQ34" s="245">
        <v>0</v>
      </c>
      <c r="AR34" s="243">
        <v>0</v>
      </c>
      <c r="AS34" s="243">
        <v>0</v>
      </c>
      <c r="AT34" s="411" t="s">
        <v>279</v>
      </c>
      <c r="AU34" s="1162"/>
      <c r="AV34" s="1148">
        <v>18.227848101265824</v>
      </c>
      <c r="AW34" s="1169">
        <v>0.16458333333333333</v>
      </c>
      <c r="AX34" s="1161">
        <v>0.03</v>
      </c>
      <c r="AY34" s="412">
        <v>0.3</v>
      </c>
      <c r="AZ34" s="1170">
        <v>0.03</v>
      </c>
      <c r="BA34" s="243">
        <v>0.3</v>
      </c>
      <c r="BB34" s="411" t="s">
        <v>279</v>
      </c>
      <c r="BC34" s="1162"/>
      <c r="BD34" s="1148">
        <v>6.0759493670886071</v>
      </c>
      <c r="BE34" s="245">
        <v>0.49375000000000002</v>
      </c>
      <c r="BF34" s="245">
        <v>0.03</v>
      </c>
      <c r="BG34" s="245">
        <v>0.3</v>
      </c>
      <c r="BH34" s="245">
        <v>0.03</v>
      </c>
      <c r="BI34" s="245">
        <v>0.3</v>
      </c>
      <c r="BJ34" s="412" t="s">
        <v>279</v>
      </c>
      <c r="BK34" s="1162"/>
      <c r="BL34" s="1148">
        <v>0</v>
      </c>
      <c r="BM34" s="245"/>
      <c r="BN34" s="245">
        <v>0.03</v>
      </c>
      <c r="BO34" s="245">
        <v>0.3</v>
      </c>
      <c r="BP34" s="245">
        <v>0.03</v>
      </c>
      <c r="BQ34" s="245">
        <v>0.3</v>
      </c>
      <c r="BR34" s="411" t="s">
        <v>279</v>
      </c>
      <c r="BS34" s="1162"/>
      <c r="BT34" s="1148">
        <v>0</v>
      </c>
      <c r="BU34" s="1169">
        <v>0.16458333333333333</v>
      </c>
      <c r="BV34" s="1161">
        <v>0</v>
      </c>
      <c r="BW34" s="412">
        <v>0</v>
      </c>
      <c r="BX34" s="1170">
        <v>0.03</v>
      </c>
      <c r="BY34" s="243">
        <v>0.3</v>
      </c>
      <c r="BZ34" s="411" t="s">
        <v>279</v>
      </c>
      <c r="CA34" s="1162"/>
      <c r="CB34" s="1148">
        <v>36.455696202531648</v>
      </c>
      <c r="CC34" s="1169">
        <v>0.16458333333333333</v>
      </c>
      <c r="CD34" s="1161">
        <v>0.06</v>
      </c>
      <c r="CE34" s="245">
        <v>0.6</v>
      </c>
      <c r="CF34" s="245">
        <v>0.09</v>
      </c>
      <c r="CG34" s="243">
        <v>0.89999999999999991</v>
      </c>
      <c r="CH34" s="411" t="s">
        <v>279</v>
      </c>
      <c r="CI34" s="1162"/>
      <c r="CJ34" s="1148">
        <v>100.25316455696202</v>
      </c>
      <c r="CK34" s="1161">
        <v>0.21944444444444444</v>
      </c>
      <c r="CL34" s="1161">
        <v>0.22</v>
      </c>
      <c r="CM34" s="245">
        <v>2.2000000000000002</v>
      </c>
      <c r="CN34" s="245">
        <v>0.31</v>
      </c>
      <c r="CO34" s="243">
        <v>3.1</v>
      </c>
      <c r="CP34" s="411" t="s">
        <v>279</v>
      </c>
      <c r="CQ34" s="1162"/>
      <c r="CR34" s="1148">
        <v>51.037974683544306</v>
      </c>
      <c r="CS34" s="245">
        <v>0.54861111111111116</v>
      </c>
      <c r="CT34" s="245">
        <v>0.28000000000000003</v>
      </c>
      <c r="CU34" s="245">
        <v>2.8000000000000003</v>
      </c>
      <c r="CV34" s="245">
        <v>0.31</v>
      </c>
      <c r="CW34" s="245">
        <v>3.1</v>
      </c>
      <c r="CX34" s="412" t="s">
        <v>279</v>
      </c>
      <c r="CY34" s="1162"/>
      <c r="CZ34" s="1148">
        <v>0</v>
      </c>
      <c r="DA34" s="245"/>
      <c r="DB34" s="245">
        <v>0.31000000000000005</v>
      </c>
      <c r="DC34" s="245">
        <v>3.1000000000000005</v>
      </c>
      <c r="DD34" s="245">
        <v>0.31</v>
      </c>
      <c r="DE34" s="245">
        <v>3.1</v>
      </c>
      <c r="DF34" s="411" t="s">
        <v>279</v>
      </c>
      <c r="DG34" s="1162"/>
      <c r="DH34" s="1148">
        <v>105.26582278481014</v>
      </c>
      <c r="DI34" s="1161">
        <v>0.21944444444444444</v>
      </c>
      <c r="DJ34" s="1161">
        <v>0.23100000000000001</v>
      </c>
      <c r="DK34" s="245">
        <v>2.31</v>
      </c>
      <c r="DL34" s="245">
        <v>0.54100000000000004</v>
      </c>
      <c r="DM34" s="243">
        <v>5.41</v>
      </c>
      <c r="DN34" s="411" t="s">
        <v>279</v>
      </c>
      <c r="DO34" s="1162"/>
      <c r="DP34" s="1148">
        <v>0</v>
      </c>
      <c r="DQ34" s="1161">
        <v>0.21944444444444444</v>
      </c>
      <c r="DR34" s="1161"/>
      <c r="DS34" s="245">
        <v>0</v>
      </c>
      <c r="DT34" s="245">
        <v>0.54100000000000004</v>
      </c>
      <c r="DU34" s="243">
        <v>5.41</v>
      </c>
      <c r="DV34" s="411" t="s">
        <v>279</v>
      </c>
      <c r="DW34" s="1162"/>
      <c r="DX34" s="1148">
        <v>0</v>
      </c>
      <c r="DY34" s="1161">
        <v>0.21944444444444444</v>
      </c>
      <c r="DZ34" s="1161"/>
      <c r="EA34" s="245">
        <v>0</v>
      </c>
      <c r="EB34" s="245">
        <v>0.54100000000000004</v>
      </c>
      <c r="EC34" s="290">
        <v>5.41</v>
      </c>
      <c r="ED34" s="1168" t="s">
        <v>279</v>
      </c>
      <c r="EE34" s="323"/>
      <c r="EF34" s="1148">
        <v>35.088607594936711</v>
      </c>
      <c r="EG34" s="245">
        <v>0.65833333333333333</v>
      </c>
      <c r="EH34" s="245">
        <v>0.23100000000000001</v>
      </c>
      <c r="EI34" s="252">
        <v>2.31</v>
      </c>
      <c r="EJ34" s="245">
        <v>0.54100000000000004</v>
      </c>
      <c r="EK34" s="295">
        <v>5.41</v>
      </c>
      <c r="EL34" s="246" t="s">
        <v>279</v>
      </c>
      <c r="EM34" s="323"/>
      <c r="EN34" s="1148">
        <v>42.338319907940161</v>
      </c>
      <c r="EO34" s="245">
        <v>1.2069444444444444</v>
      </c>
      <c r="EP34" s="245">
        <v>0.51100000000000001</v>
      </c>
      <c r="EQ34" s="252">
        <v>5.1100000000000003</v>
      </c>
      <c r="ER34" s="245">
        <v>0.54100000000000004</v>
      </c>
      <c r="ES34" s="295">
        <v>5.41</v>
      </c>
      <c r="ET34" s="246" t="s">
        <v>279</v>
      </c>
      <c r="EU34" s="323"/>
      <c r="EV34" s="1148">
        <v>44.82393555811278</v>
      </c>
      <c r="EW34" s="245">
        <v>1.2069444444444444</v>
      </c>
      <c r="EX34" s="245">
        <v>0.54100000000000004</v>
      </c>
      <c r="EY34" s="252">
        <v>5.41</v>
      </c>
      <c r="EZ34" s="245">
        <v>0.54100000000000004</v>
      </c>
      <c r="FA34" s="295">
        <v>5.41</v>
      </c>
      <c r="FB34" s="1168" t="s">
        <v>279</v>
      </c>
    </row>
    <row r="35" spans="1:158" s="166" customFormat="1" ht="30" customHeight="1">
      <c r="A35" s="1733"/>
      <c r="B35" s="1733"/>
      <c r="C35" s="1737"/>
      <c r="D35" s="191" t="s">
        <v>66</v>
      </c>
      <c r="E35" s="886" t="s">
        <v>192</v>
      </c>
      <c r="F35" s="873">
        <v>1</v>
      </c>
      <c r="G35" s="874">
        <v>20</v>
      </c>
      <c r="H35" s="935"/>
      <c r="I35" s="469">
        <v>0.5</v>
      </c>
      <c r="J35" s="252">
        <v>0.02</v>
      </c>
      <c r="K35" s="694">
        <v>2</v>
      </c>
      <c r="L35" s="936"/>
      <c r="M35" s="294">
        <v>1</v>
      </c>
      <c r="N35" s="694">
        <v>1.48</v>
      </c>
      <c r="O35" s="936"/>
      <c r="P35" s="465">
        <v>0</v>
      </c>
      <c r="Q35" s="245">
        <v>0</v>
      </c>
      <c r="R35" s="412">
        <v>0</v>
      </c>
      <c r="S35" s="938"/>
      <c r="T35" s="465">
        <v>0</v>
      </c>
      <c r="U35" s="245">
        <v>0</v>
      </c>
      <c r="V35" s="412">
        <v>0</v>
      </c>
      <c r="W35" s="1159"/>
      <c r="X35" s="465">
        <v>0</v>
      </c>
      <c r="Y35" s="245">
        <v>0</v>
      </c>
      <c r="Z35" s="412">
        <v>0</v>
      </c>
      <c r="AA35" s="1159"/>
      <c r="AB35" s="465">
        <v>0</v>
      </c>
      <c r="AC35" s="245">
        <v>0</v>
      </c>
      <c r="AD35" s="412">
        <v>0</v>
      </c>
      <c r="AE35" s="1159"/>
      <c r="AF35" s="1148">
        <v>0</v>
      </c>
      <c r="AG35" s="1169">
        <v>0.24666666666666667</v>
      </c>
      <c r="AH35" s="1169">
        <v>0</v>
      </c>
      <c r="AI35" s="245">
        <v>0</v>
      </c>
      <c r="AJ35" s="245">
        <v>0</v>
      </c>
      <c r="AK35" s="245">
        <v>0</v>
      </c>
      <c r="AL35" s="412" t="s">
        <v>279</v>
      </c>
      <c r="AM35" s="1162"/>
      <c r="AN35" s="1148">
        <v>0</v>
      </c>
      <c r="AO35" s="1169">
        <v>0.24666666666666667</v>
      </c>
      <c r="AP35" s="1169">
        <v>0</v>
      </c>
      <c r="AQ35" s="245">
        <v>0</v>
      </c>
      <c r="AR35" s="245">
        <v>0</v>
      </c>
      <c r="AS35" s="245">
        <v>0</v>
      </c>
      <c r="AT35" s="412" t="s">
        <v>279</v>
      </c>
      <c r="AU35" s="1162"/>
      <c r="AV35" s="1148">
        <v>12.162162162162161</v>
      </c>
      <c r="AW35" s="1161">
        <v>0.24666666666666667</v>
      </c>
      <c r="AX35" s="1161">
        <v>0.03</v>
      </c>
      <c r="AY35" s="412">
        <v>0.6</v>
      </c>
      <c r="AZ35" s="1170">
        <v>0.03</v>
      </c>
      <c r="BA35" s="245">
        <v>0.6</v>
      </c>
      <c r="BB35" s="412" t="s">
        <v>279</v>
      </c>
      <c r="BC35" s="1162"/>
      <c r="BD35" s="1148">
        <v>4.0540540540540544</v>
      </c>
      <c r="BE35" s="245">
        <v>0.74</v>
      </c>
      <c r="BF35" s="245">
        <v>0.03</v>
      </c>
      <c r="BG35" s="245">
        <v>0.6</v>
      </c>
      <c r="BH35" s="245">
        <v>0.03</v>
      </c>
      <c r="BI35" s="245">
        <v>0.6</v>
      </c>
      <c r="BJ35" s="412" t="s">
        <v>279</v>
      </c>
      <c r="BK35" s="1162"/>
      <c r="BL35" s="1148">
        <v>0</v>
      </c>
      <c r="BM35" s="245"/>
      <c r="BN35" s="245">
        <v>0.03</v>
      </c>
      <c r="BO35" s="245">
        <v>0.6</v>
      </c>
      <c r="BP35" s="245">
        <v>0.03</v>
      </c>
      <c r="BQ35" s="245">
        <v>0.6</v>
      </c>
      <c r="BR35" s="412" t="s">
        <v>279</v>
      </c>
      <c r="BS35" s="1162"/>
      <c r="BT35" s="1148">
        <v>0</v>
      </c>
      <c r="BU35" s="1161">
        <v>0.24666666666666667</v>
      </c>
      <c r="BV35" s="1161">
        <v>0</v>
      </c>
      <c r="BW35" s="412">
        <v>0</v>
      </c>
      <c r="BX35" s="1170">
        <v>0.03</v>
      </c>
      <c r="BY35" s="245">
        <v>0.6</v>
      </c>
      <c r="BZ35" s="412" t="s">
        <v>279</v>
      </c>
      <c r="CA35" s="1162"/>
      <c r="CB35" s="1148">
        <v>0</v>
      </c>
      <c r="CC35" s="1161">
        <v>0</v>
      </c>
      <c r="CD35" s="1161">
        <v>0.06</v>
      </c>
      <c r="CE35" s="245">
        <v>1.2</v>
      </c>
      <c r="CF35" s="245">
        <v>0.09</v>
      </c>
      <c r="CG35" s="245">
        <v>1.7999999999999998</v>
      </c>
      <c r="CH35" s="412" t="s">
        <v>279</v>
      </c>
      <c r="CI35" s="1162"/>
      <c r="CJ35" s="1148">
        <v>97.297297297297291</v>
      </c>
      <c r="CK35" s="1161">
        <v>0.16444444444444445</v>
      </c>
      <c r="CL35" s="1161">
        <v>0.16</v>
      </c>
      <c r="CM35" s="245">
        <v>3.2</v>
      </c>
      <c r="CN35" s="245">
        <v>0.25</v>
      </c>
      <c r="CO35" s="245">
        <v>5</v>
      </c>
      <c r="CP35" s="412" t="s">
        <v>279</v>
      </c>
      <c r="CQ35" s="1162"/>
      <c r="CR35" s="1148">
        <v>53.513513513513509</v>
      </c>
      <c r="CS35" s="245">
        <v>0.41111111111111109</v>
      </c>
      <c r="CT35" s="245">
        <v>0.22</v>
      </c>
      <c r="CU35" s="245">
        <v>4.4000000000000004</v>
      </c>
      <c r="CV35" s="245">
        <v>0.25</v>
      </c>
      <c r="CW35" s="245">
        <v>5</v>
      </c>
      <c r="CX35" s="412" t="s">
        <v>279</v>
      </c>
      <c r="CY35" s="1162"/>
      <c r="CZ35" s="1148">
        <v>0</v>
      </c>
      <c r="DA35" s="245"/>
      <c r="DB35" s="245">
        <v>0.25</v>
      </c>
      <c r="DC35" s="245">
        <v>5</v>
      </c>
      <c r="DD35" s="245">
        <v>0.25</v>
      </c>
      <c r="DE35" s="245">
        <v>5</v>
      </c>
      <c r="DF35" s="412" t="s">
        <v>279</v>
      </c>
      <c r="DG35" s="1162"/>
      <c r="DH35" s="1148">
        <v>102.16216216216216</v>
      </c>
      <c r="DI35" s="1161">
        <v>0.16444444444444445</v>
      </c>
      <c r="DJ35" s="1161">
        <v>0.16800000000000001</v>
      </c>
      <c r="DK35" s="245">
        <v>3.3600000000000003</v>
      </c>
      <c r="DL35" s="245">
        <v>0.41800000000000004</v>
      </c>
      <c r="DM35" s="245">
        <v>8.3600000000000012</v>
      </c>
      <c r="DN35" s="412" t="s">
        <v>279</v>
      </c>
      <c r="DO35" s="1162"/>
      <c r="DP35" s="1148">
        <v>0</v>
      </c>
      <c r="DQ35" s="1161">
        <v>0.16444444444444445</v>
      </c>
      <c r="DR35" s="1161"/>
      <c r="DS35" s="245">
        <v>0</v>
      </c>
      <c r="DT35" s="245">
        <v>0.41800000000000004</v>
      </c>
      <c r="DU35" s="245">
        <v>8.3600000000000012</v>
      </c>
      <c r="DV35" s="412" t="s">
        <v>279</v>
      </c>
      <c r="DW35" s="1162"/>
      <c r="DX35" s="1148">
        <v>0</v>
      </c>
      <c r="DY35" s="1161">
        <v>0.16444444444444445</v>
      </c>
      <c r="DZ35" s="1161"/>
      <c r="EA35" s="245">
        <v>0</v>
      </c>
      <c r="EB35" s="245">
        <v>0.41800000000000004</v>
      </c>
      <c r="EC35" s="295">
        <v>8.3600000000000012</v>
      </c>
      <c r="ED35" s="1171" t="s">
        <v>279</v>
      </c>
      <c r="EE35" s="323"/>
      <c r="EF35" s="1148">
        <v>34.054054054054056</v>
      </c>
      <c r="EG35" s="245">
        <v>0.49333333333333335</v>
      </c>
      <c r="EH35" s="245">
        <v>0.16800000000000001</v>
      </c>
      <c r="EI35" s="252">
        <v>3.3600000000000003</v>
      </c>
      <c r="EJ35" s="245">
        <v>0.41800000000000004</v>
      </c>
      <c r="EK35" s="295">
        <v>8.3600000000000012</v>
      </c>
      <c r="EL35" s="246" t="s">
        <v>279</v>
      </c>
      <c r="EM35" s="323"/>
      <c r="EN35" s="1148">
        <v>42.899262899262901</v>
      </c>
      <c r="EO35" s="245">
        <v>0.90444444444444438</v>
      </c>
      <c r="EP35" s="245">
        <v>0.38800000000000001</v>
      </c>
      <c r="EQ35" s="252">
        <v>7.76</v>
      </c>
      <c r="ER35" s="245">
        <v>0.41800000000000004</v>
      </c>
      <c r="ES35" s="295">
        <v>8.3600000000000012</v>
      </c>
      <c r="ET35" s="246" t="s">
        <v>279</v>
      </c>
      <c r="EU35" s="323"/>
      <c r="EV35" s="1148">
        <v>46.216216216216225</v>
      </c>
      <c r="EW35" s="245">
        <v>0.90444444444444438</v>
      </c>
      <c r="EX35" s="245">
        <v>0.41800000000000004</v>
      </c>
      <c r="EY35" s="252">
        <v>8.3600000000000012</v>
      </c>
      <c r="EZ35" s="245">
        <v>0.41800000000000004</v>
      </c>
      <c r="FA35" s="295">
        <v>8.3600000000000012</v>
      </c>
      <c r="FB35" s="1171" t="s">
        <v>279</v>
      </c>
    </row>
    <row r="36" spans="1:158" s="166" customFormat="1" ht="30" customHeight="1">
      <c r="A36" s="1733"/>
      <c r="B36" s="1733"/>
      <c r="C36" s="1737"/>
      <c r="D36" s="191" t="s">
        <v>708</v>
      </c>
      <c r="E36" s="886" t="s">
        <v>192</v>
      </c>
      <c r="F36" s="873">
        <v>1</v>
      </c>
      <c r="G36" s="874">
        <v>20</v>
      </c>
      <c r="H36" s="935"/>
      <c r="I36" s="469">
        <v>0.5</v>
      </c>
      <c r="J36" s="252">
        <v>0</v>
      </c>
      <c r="K36" s="694">
        <v>0</v>
      </c>
      <c r="L36" s="936"/>
      <c r="M36" s="294">
        <v>1</v>
      </c>
      <c r="N36" s="694">
        <v>1.5</v>
      </c>
      <c r="O36" s="936"/>
      <c r="P36" s="465">
        <v>0</v>
      </c>
      <c r="Q36" s="245">
        <v>0</v>
      </c>
      <c r="R36" s="412">
        <v>0</v>
      </c>
      <c r="S36" s="938"/>
      <c r="T36" s="465">
        <v>0</v>
      </c>
      <c r="U36" s="245">
        <v>0</v>
      </c>
      <c r="V36" s="412">
        <v>0</v>
      </c>
      <c r="W36" s="1159"/>
      <c r="X36" s="465">
        <v>0</v>
      </c>
      <c r="Y36" s="245">
        <v>0</v>
      </c>
      <c r="Z36" s="412">
        <v>0</v>
      </c>
      <c r="AA36" s="1159"/>
      <c r="AB36" s="465">
        <v>0</v>
      </c>
      <c r="AC36" s="245">
        <v>0</v>
      </c>
      <c r="AD36" s="412">
        <v>0</v>
      </c>
      <c r="AE36" s="1159"/>
      <c r="AF36" s="1148">
        <v>0</v>
      </c>
      <c r="AG36" s="1169">
        <v>0.25</v>
      </c>
      <c r="AH36" s="1169">
        <v>0</v>
      </c>
      <c r="AI36" s="245">
        <v>0</v>
      </c>
      <c r="AJ36" s="245">
        <v>0</v>
      </c>
      <c r="AK36" s="245">
        <v>0</v>
      </c>
      <c r="AL36" s="412" t="s">
        <v>279</v>
      </c>
      <c r="AM36" s="1162"/>
      <c r="AN36" s="1148">
        <v>0</v>
      </c>
      <c r="AO36" s="1169">
        <v>0.25</v>
      </c>
      <c r="AP36" s="1169">
        <v>0</v>
      </c>
      <c r="AQ36" s="245">
        <v>0</v>
      </c>
      <c r="AR36" s="245">
        <v>0</v>
      </c>
      <c r="AS36" s="245">
        <v>0</v>
      </c>
      <c r="AT36" s="412" t="s">
        <v>279</v>
      </c>
      <c r="AU36" s="1162"/>
      <c r="AV36" s="1148">
        <v>0</v>
      </c>
      <c r="AW36" s="1161">
        <v>0.25</v>
      </c>
      <c r="AX36" s="1161">
        <v>0</v>
      </c>
      <c r="AY36" s="412">
        <v>0</v>
      </c>
      <c r="AZ36" s="1170">
        <v>0</v>
      </c>
      <c r="BA36" s="245">
        <v>0</v>
      </c>
      <c r="BB36" s="412" t="s">
        <v>279</v>
      </c>
      <c r="BC36" s="1162"/>
      <c r="BD36" s="1148">
        <v>0</v>
      </c>
      <c r="BE36" s="245">
        <v>0.75</v>
      </c>
      <c r="BF36" s="245">
        <v>0</v>
      </c>
      <c r="BG36" s="245">
        <v>0</v>
      </c>
      <c r="BH36" s="245">
        <v>0</v>
      </c>
      <c r="BI36" s="245">
        <v>0</v>
      </c>
      <c r="BJ36" s="412" t="s">
        <v>279</v>
      </c>
      <c r="BK36" s="1162"/>
      <c r="BL36" s="1148">
        <v>0</v>
      </c>
      <c r="BM36" s="245"/>
      <c r="BN36" s="245">
        <v>0</v>
      </c>
      <c r="BO36" s="245">
        <v>0</v>
      </c>
      <c r="BP36" s="245">
        <v>0</v>
      </c>
      <c r="BQ36" s="245">
        <v>0</v>
      </c>
      <c r="BR36" s="412" t="s">
        <v>279</v>
      </c>
      <c r="BS36" s="1162"/>
      <c r="BT36" s="1148">
        <v>0</v>
      </c>
      <c r="BU36" s="1161">
        <v>0.25</v>
      </c>
      <c r="BV36" s="1161">
        <v>0</v>
      </c>
      <c r="BW36" s="412">
        <v>0</v>
      </c>
      <c r="BX36" s="1170">
        <v>0</v>
      </c>
      <c r="BY36" s="245">
        <v>0</v>
      </c>
      <c r="BZ36" s="412" t="s">
        <v>279</v>
      </c>
      <c r="CA36" s="1162"/>
      <c r="CB36" s="1148">
        <v>0</v>
      </c>
      <c r="CC36" s="1161">
        <v>0</v>
      </c>
      <c r="CD36" s="1161">
        <v>0</v>
      </c>
      <c r="CE36" s="245">
        <v>0</v>
      </c>
      <c r="CF36" s="245">
        <v>0</v>
      </c>
      <c r="CG36" s="245">
        <v>0</v>
      </c>
      <c r="CH36" s="412" t="s">
        <v>279</v>
      </c>
      <c r="CI36" s="1162"/>
      <c r="CJ36" s="1148">
        <v>102.00000000000003</v>
      </c>
      <c r="CK36" s="1161">
        <v>0.16666666666666666</v>
      </c>
      <c r="CL36" s="1161">
        <v>0.17</v>
      </c>
      <c r="CM36" s="245">
        <v>3.4000000000000004</v>
      </c>
      <c r="CN36" s="245">
        <v>0.17</v>
      </c>
      <c r="CO36" s="245">
        <v>3.4000000000000004</v>
      </c>
      <c r="CP36" s="412" t="s">
        <v>279</v>
      </c>
      <c r="CQ36" s="1162"/>
      <c r="CR36" s="1148">
        <v>40.800000000000011</v>
      </c>
      <c r="CS36" s="245">
        <v>0.41666666666666663</v>
      </c>
      <c r="CT36" s="245">
        <v>0.17</v>
      </c>
      <c r="CU36" s="245">
        <v>3.4000000000000004</v>
      </c>
      <c r="CV36" s="245">
        <v>0.17</v>
      </c>
      <c r="CW36" s="245">
        <v>3.4000000000000004</v>
      </c>
      <c r="CX36" s="412" t="s">
        <v>279</v>
      </c>
      <c r="CY36" s="1162"/>
      <c r="CZ36" s="1148">
        <v>0</v>
      </c>
      <c r="DA36" s="245"/>
      <c r="DB36" s="245">
        <v>0.17</v>
      </c>
      <c r="DC36" s="245">
        <v>3.4000000000000004</v>
      </c>
      <c r="DD36" s="245">
        <v>0.17</v>
      </c>
      <c r="DE36" s="245">
        <v>3.4000000000000004</v>
      </c>
      <c r="DF36" s="412" t="s">
        <v>279</v>
      </c>
      <c r="DG36" s="1162"/>
      <c r="DH36" s="1148">
        <v>107.10000000000002</v>
      </c>
      <c r="DI36" s="1161">
        <v>0.16666666666666666</v>
      </c>
      <c r="DJ36" s="1161">
        <v>0.17850000000000002</v>
      </c>
      <c r="DK36" s="245">
        <v>3.5700000000000003</v>
      </c>
      <c r="DL36" s="245">
        <v>0.34850000000000003</v>
      </c>
      <c r="DM36" s="245">
        <v>6.9700000000000006</v>
      </c>
      <c r="DN36" s="412" t="s">
        <v>279</v>
      </c>
      <c r="DO36" s="1162"/>
      <c r="DP36" s="1148">
        <v>0</v>
      </c>
      <c r="DQ36" s="1161">
        <v>0.16666666666666666</v>
      </c>
      <c r="DR36" s="1161"/>
      <c r="DS36" s="245">
        <v>0</v>
      </c>
      <c r="DT36" s="245">
        <v>0.34850000000000003</v>
      </c>
      <c r="DU36" s="245">
        <v>6.9700000000000006</v>
      </c>
      <c r="DV36" s="412" t="s">
        <v>279</v>
      </c>
      <c r="DW36" s="1162"/>
      <c r="DX36" s="1148">
        <v>0</v>
      </c>
      <c r="DY36" s="1161">
        <v>0.16666666666666666</v>
      </c>
      <c r="DZ36" s="1161"/>
      <c r="EA36" s="245">
        <v>0</v>
      </c>
      <c r="EB36" s="245">
        <v>0.34850000000000003</v>
      </c>
      <c r="EC36" s="295">
        <v>6.9700000000000006</v>
      </c>
      <c r="ED36" s="1171" t="s">
        <v>279</v>
      </c>
      <c r="EE36" s="323"/>
      <c r="EF36" s="1148">
        <v>35.700000000000003</v>
      </c>
      <c r="EG36" s="245">
        <v>0.5</v>
      </c>
      <c r="EH36" s="245">
        <v>0.17850000000000002</v>
      </c>
      <c r="EI36" s="252">
        <v>3.5700000000000003</v>
      </c>
      <c r="EJ36" s="245">
        <v>0.34850000000000003</v>
      </c>
      <c r="EK36" s="295">
        <v>6.9700000000000006</v>
      </c>
      <c r="EL36" s="246" t="s">
        <v>279</v>
      </c>
      <c r="EM36" s="323"/>
      <c r="EN36" s="1148">
        <v>38.018181818181823</v>
      </c>
      <c r="EO36" s="245">
        <v>0.91666666666666663</v>
      </c>
      <c r="EP36" s="245">
        <v>0.34850000000000003</v>
      </c>
      <c r="EQ36" s="252">
        <v>6.9700000000000006</v>
      </c>
      <c r="ER36" s="245">
        <v>0.34850000000000003</v>
      </c>
      <c r="ES36" s="295">
        <v>6.9700000000000006</v>
      </c>
      <c r="ET36" s="246" t="s">
        <v>279</v>
      </c>
      <c r="EU36" s="323"/>
      <c r="EV36" s="1148">
        <v>38.018181818181823</v>
      </c>
      <c r="EW36" s="245">
        <v>0.91666666666666663</v>
      </c>
      <c r="EX36" s="245">
        <v>0.34850000000000003</v>
      </c>
      <c r="EY36" s="252">
        <v>6.9700000000000006</v>
      </c>
      <c r="EZ36" s="245">
        <v>0.34850000000000003</v>
      </c>
      <c r="FA36" s="295">
        <v>6.9700000000000006</v>
      </c>
      <c r="FB36" s="1171" t="s">
        <v>279</v>
      </c>
    </row>
    <row r="37" spans="1:158" s="166" customFormat="1" ht="30" customHeight="1">
      <c r="A37" s="1733"/>
      <c r="B37" s="1733"/>
      <c r="C37" s="1737"/>
      <c r="D37" s="191" t="s">
        <v>709</v>
      </c>
      <c r="E37" s="886" t="s">
        <v>436</v>
      </c>
      <c r="F37" s="873">
        <v>20000</v>
      </c>
      <c r="G37" s="874">
        <v>50</v>
      </c>
      <c r="H37" s="935"/>
      <c r="I37" s="469">
        <v>0.5</v>
      </c>
      <c r="J37" s="252">
        <v>0</v>
      </c>
      <c r="K37" s="694">
        <v>0</v>
      </c>
      <c r="L37" s="936"/>
      <c r="M37" s="294">
        <v>10</v>
      </c>
      <c r="N37" s="694">
        <v>10.5</v>
      </c>
      <c r="O37" s="936"/>
      <c r="P37" s="465">
        <v>0</v>
      </c>
      <c r="Q37" s="245">
        <v>0</v>
      </c>
      <c r="R37" s="412">
        <v>0</v>
      </c>
      <c r="S37" s="938"/>
      <c r="T37" s="465">
        <v>0</v>
      </c>
      <c r="U37" s="245">
        <v>0</v>
      </c>
      <c r="V37" s="412">
        <v>0</v>
      </c>
      <c r="W37" s="1159"/>
      <c r="X37" s="465">
        <v>0</v>
      </c>
      <c r="Y37" s="245">
        <v>0</v>
      </c>
      <c r="Z37" s="412">
        <v>0</v>
      </c>
      <c r="AA37" s="1159"/>
      <c r="AB37" s="465">
        <v>0</v>
      </c>
      <c r="AC37" s="245">
        <v>0</v>
      </c>
      <c r="AD37" s="412">
        <v>0</v>
      </c>
      <c r="AE37" s="1159"/>
      <c r="AF37" s="1148">
        <v>0</v>
      </c>
      <c r="AG37" s="1178">
        <v>1428.5714285714287</v>
      </c>
      <c r="AH37" s="1169">
        <v>0</v>
      </c>
      <c r="AI37" s="245">
        <v>0</v>
      </c>
      <c r="AJ37" s="245">
        <v>0</v>
      </c>
      <c r="AK37" s="245">
        <v>0</v>
      </c>
      <c r="AL37" s="412" t="s">
        <v>279</v>
      </c>
      <c r="AM37" s="1162"/>
      <c r="AN37" s="1148">
        <v>0</v>
      </c>
      <c r="AO37" s="1179">
        <v>1428.5714285714287</v>
      </c>
      <c r="AP37" s="1169">
        <v>0</v>
      </c>
      <c r="AQ37" s="245">
        <v>0</v>
      </c>
      <c r="AR37" s="245">
        <v>0</v>
      </c>
      <c r="AS37" s="245">
        <v>0</v>
      </c>
      <c r="AT37" s="412" t="s">
        <v>279</v>
      </c>
      <c r="AU37" s="1162"/>
      <c r="AV37" s="1148">
        <v>0</v>
      </c>
      <c r="AW37" s="1180">
        <v>1428.5714285714287</v>
      </c>
      <c r="AX37" s="1161">
        <v>0</v>
      </c>
      <c r="AY37" s="412">
        <v>0</v>
      </c>
      <c r="AZ37" s="1170">
        <v>0</v>
      </c>
      <c r="BA37" s="245">
        <v>0</v>
      </c>
      <c r="BB37" s="412" t="s">
        <v>279</v>
      </c>
      <c r="BC37" s="1162"/>
      <c r="BD37" s="1148">
        <v>0</v>
      </c>
      <c r="BE37" s="245">
        <v>4285.7142857142862</v>
      </c>
      <c r="BF37" s="245">
        <v>0</v>
      </c>
      <c r="BG37" s="245">
        <v>0</v>
      </c>
      <c r="BH37" s="245">
        <v>0</v>
      </c>
      <c r="BI37" s="245">
        <v>0</v>
      </c>
      <c r="BJ37" s="412" t="s">
        <v>279</v>
      </c>
      <c r="BK37" s="1162"/>
      <c r="BL37" s="1148">
        <v>0</v>
      </c>
      <c r="BM37" s="245"/>
      <c r="BN37" s="245">
        <v>0</v>
      </c>
      <c r="BO37" s="245">
        <v>0</v>
      </c>
      <c r="BP37" s="245">
        <v>0</v>
      </c>
      <c r="BQ37" s="245">
        <v>0</v>
      </c>
      <c r="BR37" s="412" t="s">
        <v>279</v>
      </c>
      <c r="BS37" s="1162"/>
      <c r="BT37" s="1148">
        <v>0</v>
      </c>
      <c r="BU37" s="1161">
        <v>1.75</v>
      </c>
      <c r="BV37" s="1161">
        <v>0</v>
      </c>
      <c r="BW37" s="412">
        <v>0</v>
      </c>
      <c r="BX37" s="1170">
        <v>0</v>
      </c>
      <c r="BY37" s="245">
        <v>0</v>
      </c>
      <c r="BZ37" s="412" t="s">
        <v>279</v>
      </c>
      <c r="CA37" s="1162"/>
      <c r="CB37" s="1148">
        <v>0</v>
      </c>
      <c r="CC37" s="1161">
        <v>0</v>
      </c>
      <c r="CD37" s="1161">
        <v>0</v>
      </c>
      <c r="CE37" s="245">
        <v>0</v>
      </c>
      <c r="CF37" s="245">
        <v>0</v>
      </c>
      <c r="CG37" s="245">
        <v>0</v>
      </c>
      <c r="CH37" s="412" t="s">
        <v>279</v>
      </c>
      <c r="CI37" s="1162"/>
      <c r="CJ37" s="1148">
        <v>0</v>
      </c>
      <c r="CK37" s="1161">
        <v>1.1666666666666667</v>
      </c>
      <c r="CL37" s="1161">
        <v>0</v>
      </c>
      <c r="CM37" s="245">
        <v>0</v>
      </c>
      <c r="CN37" s="245">
        <v>0</v>
      </c>
      <c r="CO37" s="245">
        <v>0</v>
      </c>
      <c r="CP37" s="412" t="s">
        <v>279</v>
      </c>
      <c r="CQ37" s="1162"/>
      <c r="CR37" s="1148">
        <v>0</v>
      </c>
      <c r="CS37" s="245">
        <v>2.916666666666667</v>
      </c>
      <c r="CT37" s="245">
        <v>0</v>
      </c>
      <c r="CU37" s="245">
        <v>0</v>
      </c>
      <c r="CV37" s="245">
        <v>0</v>
      </c>
      <c r="CW37" s="245">
        <v>0</v>
      </c>
      <c r="CX37" s="412" t="s">
        <v>279</v>
      </c>
      <c r="CY37" s="1162"/>
      <c r="CZ37" s="1148">
        <v>0</v>
      </c>
      <c r="DA37" s="245"/>
      <c r="DB37" s="245">
        <v>0</v>
      </c>
      <c r="DC37" s="245">
        <v>0</v>
      </c>
      <c r="DD37" s="245">
        <v>0</v>
      </c>
      <c r="DE37" s="245">
        <v>0</v>
      </c>
      <c r="DF37" s="412" t="s">
        <v>279</v>
      </c>
      <c r="DG37" s="1162"/>
      <c r="DH37" s="1148">
        <v>0</v>
      </c>
      <c r="DI37" s="1161">
        <v>1.1666666666666667</v>
      </c>
      <c r="DJ37" s="1161">
        <v>0</v>
      </c>
      <c r="DK37" s="245">
        <v>0</v>
      </c>
      <c r="DL37" s="245">
        <v>0</v>
      </c>
      <c r="DM37" s="245">
        <v>0</v>
      </c>
      <c r="DN37" s="412" t="s">
        <v>279</v>
      </c>
      <c r="DO37" s="1162"/>
      <c r="DP37" s="1148">
        <v>0</v>
      </c>
      <c r="DQ37" s="1161">
        <v>1.1666666666666667</v>
      </c>
      <c r="DR37" s="1161"/>
      <c r="DS37" s="245">
        <v>0</v>
      </c>
      <c r="DT37" s="245">
        <v>0</v>
      </c>
      <c r="DU37" s="245">
        <v>0</v>
      </c>
      <c r="DV37" s="412" t="s">
        <v>279</v>
      </c>
      <c r="DW37" s="1162"/>
      <c r="DX37" s="1148">
        <v>0</v>
      </c>
      <c r="DY37" s="1161">
        <v>1.1666666666666667</v>
      </c>
      <c r="DZ37" s="1161"/>
      <c r="EA37" s="245">
        <v>0</v>
      </c>
      <c r="EB37" s="245">
        <v>0</v>
      </c>
      <c r="EC37" s="295">
        <v>0</v>
      </c>
      <c r="ED37" s="1171" t="s">
        <v>279</v>
      </c>
      <c r="EE37" s="323"/>
      <c r="EF37" s="1148">
        <v>0</v>
      </c>
      <c r="EG37" s="245">
        <v>3.5</v>
      </c>
      <c r="EH37" s="245">
        <v>0</v>
      </c>
      <c r="EI37" s="252">
        <v>0</v>
      </c>
      <c r="EJ37" s="245">
        <v>0</v>
      </c>
      <c r="EK37" s="295">
        <v>0</v>
      </c>
      <c r="EL37" s="246" t="s">
        <v>279</v>
      </c>
      <c r="EM37" s="323"/>
      <c r="EN37" s="1148">
        <v>0</v>
      </c>
      <c r="EO37" s="245">
        <v>6.416666666666667</v>
      </c>
      <c r="EP37" s="245">
        <v>0</v>
      </c>
      <c r="EQ37" s="252">
        <v>0</v>
      </c>
      <c r="ER37" s="245">
        <v>0</v>
      </c>
      <c r="ES37" s="295">
        <v>0</v>
      </c>
      <c r="ET37" s="246" t="s">
        <v>279</v>
      </c>
      <c r="EU37" s="323"/>
      <c r="EV37" s="1148">
        <v>0</v>
      </c>
      <c r="EW37" s="245">
        <v>6.416666666666667</v>
      </c>
      <c r="EX37" s="245">
        <v>0</v>
      </c>
      <c r="EY37" s="252">
        <v>0</v>
      </c>
      <c r="EZ37" s="245">
        <v>0</v>
      </c>
      <c r="FA37" s="295">
        <v>0</v>
      </c>
      <c r="FB37" s="1171" t="s">
        <v>279</v>
      </c>
    </row>
    <row r="38" spans="1:158" s="166" customFormat="1" ht="30" customHeight="1" thickBot="1">
      <c r="A38" s="1734"/>
      <c r="B38" s="1734"/>
      <c r="C38" s="1738"/>
      <c r="D38" s="193" t="s">
        <v>14</v>
      </c>
      <c r="E38" s="894"/>
      <c r="F38" s="881"/>
      <c r="G38" s="881">
        <v>100</v>
      </c>
      <c r="H38" s="935"/>
      <c r="I38" s="470"/>
      <c r="J38" s="257"/>
      <c r="K38" s="258">
        <v>4.5</v>
      </c>
      <c r="L38" s="936"/>
      <c r="M38" s="301"/>
      <c r="N38" s="258"/>
      <c r="O38" s="936"/>
      <c r="P38" s="466" t="s">
        <v>4</v>
      </c>
      <c r="Q38" s="490" t="s">
        <v>4</v>
      </c>
      <c r="R38" s="854">
        <v>0</v>
      </c>
      <c r="S38" s="938"/>
      <c r="T38" s="466"/>
      <c r="U38" s="490"/>
      <c r="V38" s="854">
        <v>0</v>
      </c>
      <c r="W38" s="1159"/>
      <c r="X38" s="466"/>
      <c r="Y38" s="490"/>
      <c r="Z38" s="854">
        <v>0</v>
      </c>
      <c r="AA38" s="1159"/>
      <c r="AB38" s="466"/>
      <c r="AC38" s="490">
        <v>0</v>
      </c>
      <c r="AD38" s="854">
        <v>0</v>
      </c>
      <c r="AE38" s="1159"/>
      <c r="AF38" s="1173"/>
      <c r="AG38" s="1174"/>
      <c r="AH38" s="1174"/>
      <c r="AI38" s="490">
        <v>0</v>
      </c>
      <c r="AJ38" s="939"/>
      <c r="AK38" s="490">
        <v>0</v>
      </c>
      <c r="AL38" s="1176"/>
      <c r="AM38" s="1162"/>
      <c r="AN38" s="1173"/>
      <c r="AO38" s="1174"/>
      <c r="AP38" s="1174"/>
      <c r="AQ38" s="854">
        <v>0</v>
      </c>
      <c r="AR38" s="939"/>
      <c r="AS38" s="490">
        <v>0</v>
      </c>
      <c r="AT38" s="1176"/>
      <c r="AU38" s="1162"/>
      <c r="AV38" s="1173"/>
      <c r="AW38" s="1174"/>
      <c r="AX38" s="1174"/>
      <c r="AY38" s="854">
        <v>0.89999999999999991</v>
      </c>
      <c r="AZ38" s="940"/>
      <c r="BA38" s="490">
        <v>0.89999999999999991</v>
      </c>
      <c r="BB38" s="1176"/>
      <c r="BC38" s="1162"/>
      <c r="BD38" s="1173"/>
      <c r="BE38" s="939"/>
      <c r="BF38" s="939"/>
      <c r="BG38" s="854">
        <v>0.89999999999999991</v>
      </c>
      <c r="BH38" s="939"/>
      <c r="BI38" s="490">
        <v>0.89999999999999991</v>
      </c>
      <c r="BJ38" s="1176"/>
      <c r="BK38" s="1162"/>
      <c r="BL38" s="1173"/>
      <c r="BM38" s="939"/>
      <c r="BN38" s="939"/>
      <c r="BO38" s="854">
        <v>0.89999999999999991</v>
      </c>
      <c r="BP38" s="939"/>
      <c r="BQ38" s="490">
        <v>0.89999999999999991</v>
      </c>
      <c r="BR38" s="1176"/>
      <c r="BS38" s="1162"/>
      <c r="BT38" s="1173"/>
      <c r="BU38" s="939"/>
      <c r="BV38" s="939"/>
      <c r="BW38" s="854">
        <v>0</v>
      </c>
      <c r="BX38" s="940"/>
      <c r="BY38" s="490">
        <v>0.89999999999999991</v>
      </c>
      <c r="BZ38" s="1176"/>
      <c r="CA38" s="1162"/>
      <c r="CB38" s="1173"/>
      <c r="CC38" s="939"/>
      <c r="CD38" s="939"/>
      <c r="CE38" s="854">
        <v>1.7999999999999998</v>
      </c>
      <c r="CF38" s="939"/>
      <c r="CG38" s="490">
        <v>2.6999999999999997</v>
      </c>
      <c r="CH38" s="1176"/>
      <c r="CI38" s="1162"/>
      <c r="CJ38" s="1173"/>
      <c r="CK38" s="939"/>
      <c r="CL38" s="939"/>
      <c r="CM38" s="854">
        <v>8.8000000000000007</v>
      </c>
      <c r="CN38" s="939"/>
      <c r="CO38" s="490">
        <v>11.5</v>
      </c>
      <c r="CP38" s="1176"/>
      <c r="CQ38" s="1162"/>
      <c r="CR38" s="1173"/>
      <c r="CS38" s="939"/>
      <c r="CT38" s="939"/>
      <c r="CU38" s="854">
        <v>10.600000000000001</v>
      </c>
      <c r="CV38" s="939"/>
      <c r="CW38" s="490">
        <v>11.5</v>
      </c>
      <c r="CX38" s="1176"/>
      <c r="CY38" s="1162"/>
      <c r="CZ38" s="1173"/>
      <c r="DA38" s="939"/>
      <c r="DB38" s="939"/>
      <c r="DC38" s="854">
        <v>11.500000000000002</v>
      </c>
      <c r="DD38" s="939"/>
      <c r="DE38" s="490">
        <v>11.5</v>
      </c>
      <c r="DF38" s="1176"/>
      <c r="DG38" s="1162"/>
      <c r="DH38" s="1173"/>
      <c r="DI38" s="939"/>
      <c r="DJ38" s="939"/>
      <c r="DK38" s="854">
        <v>9.24</v>
      </c>
      <c r="DL38" s="939"/>
      <c r="DM38" s="490">
        <v>20.740000000000002</v>
      </c>
      <c r="DN38" s="1176"/>
      <c r="DO38" s="1162"/>
      <c r="DP38" s="1173"/>
      <c r="DQ38" s="939"/>
      <c r="DR38" s="939"/>
      <c r="DS38" s="854">
        <v>0</v>
      </c>
      <c r="DT38" s="939"/>
      <c r="DU38" s="490">
        <v>20.740000000000002</v>
      </c>
      <c r="DV38" s="1176"/>
      <c r="DW38" s="1162"/>
      <c r="DX38" s="1173"/>
      <c r="DY38" s="939"/>
      <c r="DZ38" s="939"/>
      <c r="EA38" s="854">
        <v>0</v>
      </c>
      <c r="EB38" s="261"/>
      <c r="EC38" s="260">
        <v>20.740000000000002</v>
      </c>
      <c r="ED38" s="1177"/>
      <c r="EE38" s="323"/>
      <c r="EF38" s="1173"/>
      <c r="EG38" s="261"/>
      <c r="EH38" s="261"/>
      <c r="EI38" s="259">
        <v>9.24</v>
      </c>
      <c r="EJ38" s="261"/>
      <c r="EK38" s="260">
        <v>20.740000000000002</v>
      </c>
      <c r="EL38" s="1177"/>
      <c r="EM38" s="323"/>
      <c r="EN38" s="1173"/>
      <c r="EO38" s="261"/>
      <c r="EP38" s="261"/>
      <c r="EQ38" s="259">
        <v>19.840000000000003</v>
      </c>
      <c r="ER38" s="261"/>
      <c r="ES38" s="260">
        <v>20.740000000000002</v>
      </c>
      <c r="ET38" s="1177"/>
      <c r="EU38" s="323"/>
      <c r="EV38" s="1173"/>
      <c r="EW38" s="261"/>
      <c r="EX38" s="261"/>
      <c r="EY38" s="259">
        <v>20.740000000000002</v>
      </c>
      <c r="EZ38" s="261"/>
      <c r="FA38" s="260">
        <v>20.740000000000002</v>
      </c>
      <c r="FB38" s="1177"/>
    </row>
    <row r="39" spans="1:158" s="166" customFormat="1" ht="30" customHeight="1">
      <c r="A39" s="1748" t="s">
        <v>37</v>
      </c>
      <c r="B39" s="1748" t="s">
        <v>37</v>
      </c>
      <c r="C39" s="1750" t="s">
        <v>18</v>
      </c>
      <c r="D39" s="197" t="s">
        <v>69</v>
      </c>
      <c r="E39" s="890" t="s">
        <v>11</v>
      </c>
      <c r="F39" s="878">
        <v>1</v>
      </c>
      <c r="G39" s="879">
        <v>10</v>
      </c>
      <c r="H39" s="935"/>
      <c r="I39" s="468">
        <v>1</v>
      </c>
      <c r="J39" s="241">
        <v>0.03</v>
      </c>
      <c r="K39" s="693">
        <v>3</v>
      </c>
      <c r="L39" s="936"/>
      <c r="M39" s="289">
        <v>1</v>
      </c>
      <c r="N39" s="693">
        <v>1.97</v>
      </c>
      <c r="O39" s="936"/>
      <c r="P39" s="463">
        <v>0</v>
      </c>
      <c r="Q39" s="271">
        <v>0</v>
      </c>
      <c r="R39" s="412">
        <v>0</v>
      </c>
      <c r="S39" s="938"/>
      <c r="T39" s="463">
        <v>0</v>
      </c>
      <c r="U39" s="245">
        <v>0</v>
      </c>
      <c r="V39" s="412">
        <v>0</v>
      </c>
      <c r="W39" s="1159"/>
      <c r="X39" s="465">
        <v>0</v>
      </c>
      <c r="Y39" s="245">
        <v>0</v>
      </c>
      <c r="Z39" s="412">
        <v>0</v>
      </c>
      <c r="AA39" s="1159"/>
      <c r="AB39" s="465">
        <v>0</v>
      </c>
      <c r="AC39" s="245">
        <v>0</v>
      </c>
      <c r="AD39" s="412">
        <v>0</v>
      </c>
      <c r="AE39" s="1159"/>
      <c r="AF39" s="1148">
        <v>0</v>
      </c>
      <c r="AG39" s="1169">
        <v>0.32833333333333331</v>
      </c>
      <c r="AH39" s="1169">
        <v>0</v>
      </c>
      <c r="AI39" s="243">
        <v>0</v>
      </c>
      <c r="AJ39" s="243">
        <v>0</v>
      </c>
      <c r="AK39" s="243">
        <v>0</v>
      </c>
      <c r="AL39" s="411" t="s">
        <v>279</v>
      </c>
      <c r="AM39" s="1162"/>
      <c r="AN39" s="1148">
        <v>0</v>
      </c>
      <c r="AO39" s="1169">
        <v>0.32833333333333331</v>
      </c>
      <c r="AP39" s="1169">
        <v>0</v>
      </c>
      <c r="AQ39" s="245">
        <v>0</v>
      </c>
      <c r="AR39" s="243">
        <v>0</v>
      </c>
      <c r="AS39" s="243">
        <v>0</v>
      </c>
      <c r="AT39" s="411" t="s">
        <v>279</v>
      </c>
      <c r="AU39" s="1162"/>
      <c r="AV39" s="1148">
        <v>9.1370558375634516</v>
      </c>
      <c r="AW39" s="1161">
        <v>0.32833333333333331</v>
      </c>
      <c r="AX39" s="1161">
        <v>0.03</v>
      </c>
      <c r="AY39" s="412">
        <v>0.3</v>
      </c>
      <c r="AZ39" s="1170">
        <v>0.03</v>
      </c>
      <c r="BA39" s="243">
        <v>0.3</v>
      </c>
      <c r="BB39" s="411" t="s">
        <v>279</v>
      </c>
      <c r="BC39" s="1162"/>
      <c r="BD39" s="1148">
        <v>3.0456852791878175</v>
      </c>
      <c r="BE39" s="245">
        <v>0.98499999999999988</v>
      </c>
      <c r="BF39" s="245">
        <v>0.03</v>
      </c>
      <c r="BG39" s="245">
        <v>0.3</v>
      </c>
      <c r="BH39" s="245">
        <v>0.03</v>
      </c>
      <c r="BI39" s="245">
        <v>0.3</v>
      </c>
      <c r="BJ39" s="412" t="s">
        <v>279</v>
      </c>
      <c r="BK39" s="1162"/>
      <c r="BL39" s="1148">
        <v>0</v>
      </c>
      <c r="BM39" s="245"/>
      <c r="BN39" s="245">
        <v>0.03</v>
      </c>
      <c r="BO39" s="245">
        <v>0.3</v>
      </c>
      <c r="BP39" s="245">
        <v>0.03</v>
      </c>
      <c r="BQ39" s="245">
        <v>0.3</v>
      </c>
      <c r="BR39" s="411" t="s">
        <v>279</v>
      </c>
      <c r="BS39" s="1162"/>
      <c r="BT39" s="1148">
        <v>0</v>
      </c>
      <c r="BU39" s="1161">
        <v>0</v>
      </c>
      <c r="BV39" s="1161">
        <v>0</v>
      </c>
      <c r="BW39" s="412">
        <v>0</v>
      </c>
      <c r="BX39" s="1170">
        <v>0.03</v>
      </c>
      <c r="BY39" s="243">
        <v>0.3</v>
      </c>
      <c r="BZ39" s="411" t="s">
        <v>279</v>
      </c>
      <c r="CA39" s="1162"/>
      <c r="CB39" s="1148">
        <v>0</v>
      </c>
      <c r="CC39" s="1161">
        <v>0</v>
      </c>
      <c r="CD39" s="1161"/>
      <c r="CE39" s="245">
        <v>0</v>
      </c>
      <c r="CF39" s="245">
        <v>0.03</v>
      </c>
      <c r="CG39" s="243">
        <v>0.3</v>
      </c>
      <c r="CH39" s="411" t="s">
        <v>279</v>
      </c>
      <c r="CI39" s="1162"/>
      <c r="CJ39" s="1148">
        <v>0</v>
      </c>
      <c r="CK39" s="1161">
        <v>0.21888888888888888</v>
      </c>
      <c r="CL39" s="1161">
        <v>0</v>
      </c>
      <c r="CM39" s="245">
        <v>0</v>
      </c>
      <c r="CN39" s="245">
        <v>0.03</v>
      </c>
      <c r="CO39" s="243">
        <v>0.3</v>
      </c>
      <c r="CP39" s="411" t="s">
        <v>279</v>
      </c>
      <c r="CQ39" s="1162"/>
      <c r="CR39" s="1148">
        <v>0</v>
      </c>
      <c r="CS39" s="245">
        <v>0.21888888888888888</v>
      </c>
      <c r="CT39" s="245">
        <v>0</v>
      </c>
      <c r="CU39" s="245">
        <v>0</v>
      </c>
      <c r="CV39" s="245">
        <v>0.03</v>
      </c>
      <c r="CW39" s="245">
        <v>0.3</v>
      </c>
      <c r="CX39" s="412" t="s">
        <v>279</v>
      </c>
      <c r="CY39" s="1162"/>
      <c r="CZ39" s="1148">
        <v>0</v>
      </c>
      <c r="DA39" s="245"/>
      <c r="DB39" s="245">
        <v>0.03</v>
      </c>
      <c r="DC39" s="245">
        <v>0.3</v>
      </c>
      <c r="DD39" s="245">
        <v>0.03</v>
      </c>
      <c r="DE39" s="245">
        <v>0.3</v>
      </c>
      <c r="DF39" s="411" t="s">
        <v>279</v>
      </c>
      <c r="DG39" s="1162"/>
      <c r="DH39" s="1148">
        <v>0</v>
      </c>
      <c r="DI39" s="1161">
        <v>0.21888888888888888</v>
      </c>
      <c r="DJ39" s="1161">
        <v>0</v>
      </c>
      <c r="DK39" s="245">
        <v>0</v>
      </c>
      <c r="DL39" s="245">
        <v>0.03</v>
      </c>
      <c r="DM39" s="243">
        <v>0.3</v>
      </c>
      <c r="DN39" s="411" t="s">
        <v>279</v>
      </c>
      <c r="DO39" s="1162"/>
      <c r="DP39" s="1148">
        <v>0</v>
      </c>
      <c r="DQ39" s="1161">
        <v>0.21888888888888888</v>
      </c>
      <c r="DR39" s="1161"/>
      <c r="DS39" s="245">
        <v>0</v>
      </c>
      <c r="DT39" s="245">
        <v>0.03</v>
      </c>
      <c r="DU39" s="243">
        <v>0.3</v>
      </c>
      <c r="DV39" s="411" t="s">
        <v>279</v>
      </c>
      <c r="DW39" s="1162"/>
      <c r="DX39" s="1148">
        <v>0</v>
      </c>
      <c r="DY39" s="1161">
        <v>0.21888888888888888</v>
      </c>
      <c r="DZ39" s="1161"/>
      <c r="EA39" s="245">
        <v>0</v>
      </c>
      <c r="EB39" s="245">
        <v>0.03</v>
      </c>
      <c r="EC39" s="290">
        <v>0.3</v>
      </c>
      <c r="ED39" s="1168" t="s">
        <v>279</v>
      </c>
      <c r="EE39" s="323"/>
      <c r="EF39" s="1148">
        <v>0</v>
      </c>
      <c r="EG39" s="245">
        <v>0.65666666666666662</v>
      </c>
      <c r="EH39" s="245">
        <v>0</v>
      </c>
      <c r="EI39" s="252">
        <v>0</v>
      </c>
      <c r="EJ39" s="245">
        <v>0.03</v>
      </c>
      <c r="EK39" s="295">
        <v>0.3</v>
      </c>
      <c r="EL39" s="246" t="s">
        <v>279</v>
      </c>
      <c r="EM39" s="323"/>
      <c r="EN39" s="1148">
        <v>0</v>
      </c>
      <c r="EO39" s="245">
        <v>0.87555555555555553</v>
      </c>
      <c r="EP39" s="245">
        <v>0</v>
      </c>
      <c r="EQ39" s="252">
        <v>0</v>
      </c>
      <c r="ER39" s="245">
        <v>0.03</v>
      </c>
      <c r="ES39" s="295">
        <v>0.3</v>
      </c>
      <c r="ET39" s="246" t="s">
        <v>279</v>
      </c>
      <c r="EU39" s="323"/>
      <c r="EV39" s="1148">
        <v>3.4263959390862944</v>
      </c>
      <c r="EW39" s="245">
        <v>0.87555555555555553</v>
      </c>
      <c r="EX39" s="245">
        <v>0.03</v>
      </c>
      <c r="EY39" s="252">
        <v>0.3</v>
      </c>
      <c r="EZ39" s="245">
        <v>0.03</v>
      </c>
      <c r="FA39" s="295">
        <v>0.3</v>
      </c>
      <c r="FB39" s="1168" t="s">
        <v>279</v>
      </c>
    </row>
    <row r="40" spans="1:158" s="166" customFormat="1" ht="30" customHeight="1">
      <c r="A40" s="1733"/>
      <c r="B40" s="1733"/>
      <c r="C40" s="1737"/>
      <c r="D40" s="191" t="s">
        <v>67</v>
      </c>
      <c r="E40" s="886" t="s">
        <v>11</v>
      </c>
      <c r="F40" s="873">
        <v>1</v>
      </c>
      <c r="G40" s="874">
        <v>15</v>
      </c>
      <c r="H40" s="935"/>
      <c r="I40" s="469">
        <v>0.5</v>
      </c>
      <c r="J40" s="252">
        <v>1.4999999999999999E-2</v>
      </c>
      <c r="K40" s="694">
        <v>1.5</v>
      </c>
      <c r="L40" s="936"/>
      <c r="M40" s="294">
        <v>0.5</v>
      </c>
      <c r="N40" s="694">
        <v>0.98499999999999999</v>
      </c>
      <c r="O40" s="936"/>
      <c r="P40" s="465">
        <v>0</v>
      </c>
      <c r="Q40" s="245">
        <v>0</v>
      </c>
      <c r="R40" s="412">
        <v>0</v>
      </c>
      <c r="S40" s="938"/>
      <c r="T40" s="465">
        <v>0</v>
      </c>
      <c r="U40" s="245">
        <v>0</v>
      </c>
      <c r="V40" s="412">
        <v>0</v>
      </c>
      <c r="W40" s="1159"/>
      <c r="X40" s="465">
        <v>0</v>
      </c>
      <c r="Y40" s="245">
        <v>0</v>
      </c>
      <c r="Z40" s="412">
        <v>0</v>
      </c>
      <c r="AA40" s="1159"/>
      <c r="AB40" s="465">
        <v>0</v>
      </c>
      <c r="AC40" s="245">
        <v>0</v>
      </c>
      <c r="AD40" s="412">
        <v>0</v>
      </c>
      <c r="AE40" s="1159"/>
      <c r="AF40" s="1148">
        <v>0</v>
      </c>
      <c r="AG40" s="1169">
        <v>0.16416666666666666</v>
      </c>
      <c r="AH40" s="1169">
        <v>0</v>
      </c>
      <c r="AI40" s="245">
        <v>0</v>
      </c>
      <c r="AJ40" s="245">
        <v>0</v>
      </c>
      <c r="AK40" s="245">
        <v>0</v>
      </c>
      <c r="AL40" s="412" t="s">
        <v>279</v>
      </c>
      <c r="AM40" s="1162"/>
      <c r="AN40" s="1148">
        <v>0</v>
      </c>
      <c r="AO40" s="1169">
        <v>0.16416666666666666</v>
      </c>
      <c r="AP40" s="1169">
        <v>0</v>
      </c>
      <c r="AQ40" s="245">
        <v>0</v>
      </c>
      <c r="AR40" s="245">
        <v>0</v>
      </c>
      <c r="AS40" s="245">
        <v>0</v>
      </c>
      <c r="AT40" s="412" t="s">
        <v>279</v>
      </c>
      <c r="AU40" s="1162"/>
      <c r="AV40" s="1148">
        <v>18.274111675126903</v>
      </c>
      <c r="AW40" s="1161">
        <v>0.16416666666666666</v>
      </c>
      <c r="AX40" s="1161">
        <v>0.03</v>
      </c>
      <c r="AY40" s="412">
        <v>0.44999999999999996</v>
      </c>
      <c r="AZ40" s="1170">
        <v>0.03</v>
      </c>
      <c r="BA40" s="245">
        <v>0.44999999999999996</v>
      </c>
      <c r="BB40" s="412" t="s">
        <v>279</v>
      </c>
      <c r="BC40" s="1162"/>
      <c r="BD40" s="1148">
        <v>6.091370558375635</v>
      </c>
      <c r="BE40" s="245">
        <v>0.49249999999999994</v>
      </c>
      <c r="BF40" s="245">
        <v>0.03</v>
      </c>
      <c r="BG40" s="245">
        <v>0.44999999999999996</v>
      </c>
      <c r="BH40" s="245">
        <v>0.03</v>
      </c>
      <c r="BI40" s="245">
        <v>0.44999999999999996</v>
      </c>
      <c r="BJ40" s="412" t="s">
        <v>279</v>
      </c>
      <c r="BK40" s="1162"/>
      <c r="BL40" s="1148">
        <v>0</v>
      </c>
      <c r="BM40" s="245"/>
      <c r="BN40" s="245">
        <v>0.03</v>
      </c>
      <c r="BO40" s="245">
        <v>0.44999999999999996</v>
      </c>
      <c r="BP40" s="245">
        <v>0.03</v>
      </c>
      <c r="BQ40" s="245">
        <v>0.44999999999999996</v>
      </c>
      <c r="BR40" s="412" t="s">
        <v>279</v>
      </c>
      <c r="BS40" s="1162"/>
      <c r="BT40" s="1148">
        <v>0</v>
      </c>
      <c r="BU40" s="1161">
        <v>0</v>
      </c>
      <c r="BV40" s="1161">
        <v>0</v>
      </c>
      <c r="BW40" s="412">
        <v>0</v>
      </c>
      <c r="BX40" s="1170">
        <v>0.03</v>
      </c>
      <c r="BY40" s="245">
        <v>0.44999999999999996</v>
      </c>
      <c r="BZ40" s="412" t="s">
        <v>279</v>
      </c>
      <c r="CA40" s="1162"/>
      <c r="CB40" s="1148">
        <v>0</v>
      </c>
      <c r="CC40" s="1161">
        <v>0</v>
      </c>
      <c r="CD40" s="1161"/>
      <c r="CE40" s="245">
        <v>0</v>
      </c>
      <c r="CF40" s="245">
        <v>0.03</v>
      </c>
      <c r="CG40" s="245">
        <v>0.44999999999999996</v>
      </c>
      <c r="CH40" s="412" t="s">
        <v>279</v>
      </c>
      <c r="CI40" s="1162"/>
      <c r="CJ40" s="1148">
        <v>0</v>
      </c>
      <c r="CK40" s="1161">
        <v>0.10944444444444444</v>
      </c>
      <c r="CL40" s="1161">
        <v>0</v>
      </c>
      <c r="CM40" s="245">
        <v>0</v>
      </c>
      <c r="CN40" s="245">
        <v>0.03</v>
      </c>
      <c r="CO40" s="245">
        <v>0.44999999999999996</v>
      </c>
      <c r="CP40" s="412" t="s">
        <v>279</v>
      </c>
      <c r="CQ40" s="1162"/>
      <c r="CR40" s="1148">
        <v>0</v>
      </c>
      <c r="CS40" s="245">
        <v>0.10944444444444444</v>
      </c>
      <c r="CT40" s="245">
        <v>0</v>
      </c>
      <c r="CU40" s="245">
        <v>0</v>
      </c>
      <c r="CV40" s="245">
        <v>0.03</v>
      </c>
      <c r="CW40" s="245">
        <v>0.44999999999999996</v>
      </c>
      <c r="CX40" s="412" t="s">
        <v>279</v>
      </c>
      <c r="CY40" s="1162"/>
      <c r="CZ40" s="1148">
        <v>0</v>
      </c>
      <c r="DA40" s="245"/>
      <c r="DB40" s="245">
        <v>0.03</v>
      </c>
      <c r="DC40" s="245">
        <v>0.44999999999999996</v>
      </c>
      <c r="DD40" s="245">
        <v>0.03</v>
      </c>
      <c r="DE40" s="245">
        <v>0.44999999999999996</v>
      </c>
      <c r="DF40" s="412" t="s">
        <v>279</v>
      </c>
      <c r="DG40" s="1162"/>
      <c r="DH40" s="1148">
        <v>0</v>
      </c>
      <c r="DI40" s="1161">
        <v>0.10944444444444444</v>
      </c>
      <c r="DJ40" s="1161">
        <v>0</v>
      </c>
      <c r="DK40" s="245">
        <v>0</v>
      </c>
      <c r="DL40" s="245">
        <v>0.03</v>
      </c>
      <c r="DM40" s="245">
        <v>0.44999999999999996</v>
      </c>
      <c r="DN40" s="412" t="s">
        <v>279</v>
      </c>
      <c r="DO40" s="1162"/>
      <c r="DP40" s="1148">
        <v>0</v>
      </c>
      <c r="DQ40" s="1161">
        <v>0.10944444444444444</v>
      </c>
      <c r="DR40" s="1161"/>
      <c r="DS40" s="245">
        <v>0</v>
      </c>
      <c r="DT40" s="245">
        <v>0.03</v>
      </c>
      <c r="DU40" s="245">
        <v>0.44999999999999996</v>
      </c>
      <c r="DV40" s="412" t="s">
        <v>279</v>
      </c>
      <c r="DW40" s="1162"/>
      <c r="DX40" s="1148">
        <v>0</v>
      </c>
      <c r="DY40" s="1161">
        <v>0.10944444444444444</v>
      </c>
      <c r="DZ40" s="1161"/>
      <c r="EA40" s="245">
        <v>0</v>
      </c>
      <c r="EB40" s="245">
        <v>0.03</v>
      </c>
      <c r="EC40" s="295">
        <v>0.44999999999999996</v>
      </c>
      <c r="ED40" s="1171" t="s">
        <v>279</v>
      </c>
      <c r="EE40" s="323"/>
      <c r="EF40" s="1148">
        <v>0</v>
      </c>
      <c r="EG40" s="245">
        <v>0.32833333333333331</v>
      </c>
      <c r="EH40" s="245">
        <v>0</v>
      </c>
      <c r="EI40" s="252">
        <v>0</v>
      </c>
      <c r="EJ40" s="245">
        <v>0.03</v>
      </c>
      <c r="EK40" s="295">
        <v>0.44999999999999996</v>
      </c>
      <c r="EL40" s="246" t="s">
        <v>279</v>
      </c>
      <c r="EM40" s="323"/>
      <c r="EN40" s="1148">
        <v>0</v>
      </c>
      <c r="EO40" s="245">
        <v>0.43777777777777777</v>
      </c>
      <c r="EP40" s="245">
        <v>0</v>
      </c>
      <c r="EQ40" s="252">
        <v>0</v>
      </c>
      <c r="ER40" s="245">
        <v>0.03</v>
      </c>
      <c r="ES40" s="295">
        <v>0.44999999999999996</v>
      </c>
      <c r="ET40" s="246" t="s">
        <v>279</v>
      </c>
      <c r="EU40" s="323"/>
      <c r="EV40" s="1148">
        <v>6.8527918781725887</v>
      </c>
      <c r="EW40" s="245">
        <v>0.43777777777777777</v>
      </c>
      <c r="EX40" s="245">
        <v>0.03</v>
      </c>
      <c r="EY40" s="252">
        <v>0.44999999999999996</v>
      </c>
      <c r="EZ40" s="245">
        <v>0.03</v>
      </c>
      <c r="FA40" s="295">
        <v>0.44999999999999996</v>
      </c>
      <c r="FB40" s="1171" t="s">
        <v>279</v>
      </c>
    </row>
    <row r="41" spans="1:158" s="166" customFormat="1" ht="30" customHeight="1">
      <c r="A41" s="1733"/>
      <c r="B41" s="1733"/>
      <c r="C41" s="1737"/>
      <c r="D41" s="191" t="s">
        <v>87</v>
      </c>
      <c r="E41" s="886" t="s">
        <v>73</v>
      </c>
      <c r="F41" s="873">
        <v>20000</v>
      </c>
      <c r="G41" s="874">
        <v>75</v>
      </c>
      <c r="H41" s="935"/>
      <c r="I41" s="469">
        <v>0</v>
      </c>
      <c r="J41" s="252">
        <v>0</v>
      </c>
      <c r="K41" s="694">
        <v>0</v>
      </c>
      <c r="L41" s="936"/>
      <c r="M41" s="983">
        <v>50000</v>
      </c>
      <c r="N41" s="984">
        <v>50000</v>
      </c>
      <c r="O41" s="936"/>
      <c r="P41" s="465">
        <v>0</v>
      </c>
      <c r="Q41" s="245">
        <v>0</v>
      </c>
      <c r="R41" s="412">
        <v>0</v>
      </c>
      <c r="S41" s="938"/>
      <c r="T41" s="465">
        <v>0</v>
      </c>
      <c r="U41" s="245">
        <v>0</v>
      </c>
      <c r="V41" s="412">
        <v>0</v>
      </c>
      <c r="W41" s="1159"/>
      <c r="X41" s="465">
        <v>0</v>
      </c>
      <c r="Y41" s="245">
        <v>0</v>
      </c>
      <c r="Z41" s="412">
        <v>0</v>
      </c>
      <c r="AA41" s="1159"/>
      <c r="AB41" s="465">
        <v>0</v>
      </c>
      <c r="AC41" s="245">
        <v>0</v>
      </c>
      <c r="AD41" s="412">
        <v>0</v>
      </c>
      <c r="AE41" s="1159"/>
      <c r="AF41" s="1148">
        <v>0</v>
      </c>
      <c r="AG41" s="1178">
        <v>714.28571428571433</v>
      </c>
      <c r="AH41" s="1169">
        <v>0</v>
      </c>
      <c r="AI41" s="245">
        <v>0</v>
      </c>
      <c r="AJ41" s="245">
        <v>0</v>
      </c>
      <c r="AK41" s="245">
        <v>0</v>
      </c>
      <c r="AL41" s="412" t="s">
        <v>279</v>
      </c>
      <c r="AM41" s="1162"/>
      <c r="AN41" s="1148">
        <v>0</v>
      </c>
      <c r="AO41" s="1169">
        <v>714.28571428571433</v>
      </c>
      <c r="AP41" s="1169">
        <v>0</v>
      </c>
      <c r="AQ41" s="245">
        <v>0</v>
      </c>
      <c r="AR41" s="245">
        <v>0</v>
      </c>
      <c r="AS41" s="245">
        <v>0</v>
      </c>
      <c r="AT41" s="412" t="s">
        <v>279</v>
      </c>
      <c r="AU41" s="1162"/>
      <c r="AV41" s="1148">
        <v>0</v>
      </c>
      <c r="AW41" s="1180">
        <v>714.28571428571433</v>
      </c>
      <c r="AX41" s="1161">
        <v>0</v>
      </c>
      <c r="AY41" s="412">
        <v>0</v>
      </c>
      <c r="AZ41" s="1170">
        <v>0</v>
      </c>
      <c r="BA41" s="245">
        <v>0</v>
      </c>
      <c r="BB41" s="412" t="s">
        <v>279</v>
      </c>
      <c r="BC41" s="1162"/>
      <c r="BD41" s="1148">
        <v>0</v>
      </c>
      <c r="BE41" s="245">
        <v>2142.8571428571431</v>
      </c>
      <c r="BF41" s="245">
        <v>0</v>
      </c>
      <c r="BG41" s="245">
        <v>0</v>
      </c>
      <c r="BH41" s="245">
        <v>0</v>
      </c>
      <c r="BI41" s="245">
        <v>0</v>
      </c>
      <c r="BJ41" s="412" t="s">
        <v>279</v>
      </c>
      <c r="BK41" s="1162"/>
      <c r="BL41" s="1148">
        <v>0</v>
      </c>
      <c r="BM41" s="245"/>
      <c r="BN41" s="245">
        <v>0</v>
      </c>
      <c r="BO41" s="245">
        <v>0</v>
      </c>
      <c r="BP41" s="245">
        <v>0</v>
      </c>
      <c r="BQ41" s="245">
        <v>0</v>
      </c>
      <c r="BR41" s="412" t="s">
        <v>279</v>
      </c>
      <c r="BS41" s="1162"/>
      <c r="BT41" s="1148">
        <v>0</v>
      </c>
      <c r="BU41" s="1161">
        <v>0</v>
      </c>
      <c r="BV41" s="1161">
        <v>0</v>
      </c>
      <c r="BW41" s="412">
        <v>0</v>
      </c>
      <c r="BX41" s="1170">
        <v>0</v>
      </c>
      <c r="BY41" s="245">
        <v>0</v>
      </c>
      <c r="BZ41" s="412" t="s">
        <v>279</v>
      </c>
      <c r="CA41" s="1162"/>
      <c r="CB41" s="1148">
        <v>0</v>
      </c>
      <c r="CC41" s="1161">
        <v>0</v>
      </c>
      <c r="CD41" s="1161"/>
      <c r="CE41" s="245">
        <v>0</v>
      </c>
      <c r="CF41" s="245">
        <v>0</v>
      </c>
      <c r="CG41" s="245">
        <v>0</v>
      </c>
      <c r="CH41" s="412" t="s">
        <v>279</v>
      </c>
      <c r="CI41" s="1162"/>
      <c r="CJ41" s="1148">
        <v>0</v>
      </c>
      <c r="CK41" s="1161">
        <v>5555.5555555555557</v>
      </c>
      <c r="CL41" s="1161">
        <v>0</v>
      </c>
      <c r="CM41" s="245">
        <v>0</v>
      </c>
      <c r="CN41" s="245">
        <v>0</v>
      </c>
      <c r="CO41" s="245">
        <v>0</v>
      </c>
      <c r="CP41" s="412" t="s">
        <v>279</v>
      </c>
      <c r="CQ41" s="1162"/>
      <c r="CR41" s="1148">
        <v>0</v>
      </c>
      <c r="CS41" s="245">
        <v>5555.5555555555557</v>
      </c>
      <c r="CT41" s="245">
        <v>0</v>
      </c>
      <c r="CU41" s="245">
        <v>0</v>
      </c>
      <c r="CV41" s="245">
        <v>0</v>
      </c>
      <c r="CW41" s="245">
        <v>0</v>
      </c>
      <c r="CX41" s="412" t="s">
        <v>279</v>
      </c>
      <c r="CY41" s="1162"/>
      <c r="CZ41" s="1148">
        <v>0</v>
      </c>
      <c r="DA41" s="245"/>
      <c r="DB41" s="245">
        <v>0</v>
      </c>
      <c r="DC41" s="245">
        <v>0</v>
      </c>
      <c r="DD41" s="245">
        <v>0</v>
      </c>
      <c r="DE41" s="245">
        <v>0</v>
      </c>
      <c r="DF41" s="412" t="s">
        <v>279</v>
      </c>
      <c r="DG41" s="1162"/>
      <c r="DH41" s="1148">
        <v>0</v>
      </c>
      <c r="DI41" s="1161">
        <v>5555.5555555555557</v>
      </c>
      <c r="DJ41" s="1161">
        <v>0</v>
      </c>
      <c r="DK41" s="245">
        <v>0</v>
      </c>
      <c r="DL41" s="245">
        <v>0</v>
      </c>
      <c r="DM41" s="245">
        <v>0</v>
      </c>
      <c r="DN41" s="412" t="s">
        <v>279</v>
      </c>
      <c r="DO41" s="1162"/>
      <c r="DP41" s="1148">
        <v>0</v>
      </c>
      <c r="DQ41" s="1161">
        <v>5555.5555555555557</v>
      </c>
      <c r="DR41" s="1161"/>
      <c r="DS41" s="245">
        <v>0</v>
      </c>
      <c r="DT41" s="245">
        <v>0</v>
      </c>
      <c r="DU41" s="245">
        <v>0</v>
      </c>
      <c r="DV41" s="412" t="s">
        <v>279</v>
      </c>
      <c r="DW41" s="1162"/>
      <c r="DX41" s="1148">
        <v>0</v>
      </c>
      <c r="DY41" s="1161">
        <v>5555.5555555555557</v>
      </c>
      <c r="DZ41" s="1161"/>
      <c r="EA41" s="245">
        <v>0</v>
      </c>
      <c r="EB41" s="245">
        <v>0</v>
      </c>
      <c r="EC41" s="295">
        <v>0</v>
      </c>
      <c r="ED41" s="1171" t="s">
        <v>279</v>
      </c>
      <c r="EE41" s="323"/>
      <c r="EF41" s="1148">
        <v>0</v>
      </c>
      <c r="EG41" s="245">
        <v>16666.666666666668</v>
      </c>
      <c r="EH41" s="245">
        <v>0</v>
      </c>
      <c r="EI41" s="252">
        <v>0</v>
      </c>
      <c r="EJ41" s="245">
        <v>0</v>
      </c>
      <c r="EK41" s="295">
        <v>0</v>
      </c>
      <c r="EL41" s="246" t="s">
        <v>279</v>
      </c>
      <c r="EM41" s="323"/>
      <c r="EN41" s="1148">
        <v>0</v>
      </c>
      <c r="EO41" s="245">
        <v>22222.222222222223</v>
      </c>
      <c r="EP41" s="245">
        <v>0</v>
      </c>
      <c r="EQ41" s="252">
        <v>0</v>
      </c>
      <c r="ER41" s="245">
        <v>0</v>
      </c>
      <c r="ES41" s="295">
        <v>0</v>
      </c>
      <c r="ET41" s="246" t="s">
        <v>279</v>
      </c>
      <c r="EU41" s="323"/>
      <c r="EV41" s="1148">
        <v>0</v>
      </c>
      <c r="EW41" s="245">
        <v>22222.222222222223</v>
      </c>
      <c r="EX41" s="245">
        <v>0</v>
      </c>
      <c r="EY41" s="252">
        <v>0</v>
      </c>
      <c r="EZ41" s="245">
        <v>0</v>
      </c>
      <c r="FA41" s="295">
        <v>0</v>
      </c>
      <c r="FB41" s="1171" t="s">
        <v>279</v>
      </c>
    </row>
    <row r="42" spans="1:158" s="166" customFormat="1" ht="30" customHeight="1" thickBot="1">
      <c r="A42" s="1749"/>
      <c r="B42" s="1749"/>
      <c r="C42" s="1751"/>
      <c r="D42" s="193" t="s">
        <v>14</v>
      </c>
      <c r="E42" s="889"/>
      <c r="F42" s="877"/>
      <c r="G42" s="877">
        <v>100</v>
      </c>
      <c r="H42" s="935"/>
      <c r="I42" s="470">
        <v>0.5</v>
      </c>
      <c r="J42" s="257">
        <v>0</v>
      </c>
      <c r="K42" s="258">
        <v>4.5</v>
      </c>
      <c r="L42" s="936"/>
      <c r="M42" s="301"/>
      <c r="N42" s="258">
        <v>0.5</v>
      </c>
      <c r="O42" s="936"/>
      <c r="P42" s="466"/>
      <c r="Q42" s="490" t="s">
        <v>4</v>
      </c>
      <c r="R42" s="854">
        <v>0</v>
      </c>
      <c r="S42" s="938"/>
      <c r="T42" s="466"/>
      <c r="U42" s="490" t="s">
        <v>4</v>
      </c>
      <c r="V42" s="854">
        <v>0</v>
      </c>
      <c r="W42" s="1159"/>
      <c r="X42" s="466"/>
      <c r="Y42" s="490" t="s">
        <v>4</v>
      </c>
      <c r="Z42" s="854">
        <v>0</v>
      </c>
      <c r="AA42" s="1159"/>
      <c r="AB42" s="466"/>
      <c r="AC42" s="490" t="s">
        <v>4</v>
      </c>
      <c r="AD42" s="854">
        <v>0</v>
      </c>
      <c r="AE42" s="1159"/>
      <c r="AF42" s="1173"/>
      <c r="AG42" s="1174"/>
      <c r="AH42" s="1174"/>
      <c r="AI42" s="490">
        <v>0</v>
      </c>
      <c r="AJ42" s="939"/>
      <c r="AK42" s="490">
        <v>0</v>
      </c>
      <c r="AL42" s="1176"/>
      <c r="AM42" s="1162"/>
      <c r="AN42" s="1173"/>
      <c r="AO42" s="1174"/>
      <c r="AP42" s="1174"/>
      <c r="AQ42" s="854">
        <v>0</v>
      </c>
      <c r="AR42" s="939"/>
      <c r="AS42" s="490">
        <v>0</v>
      </c>
      <c r="AT42" s="1176"/>
      <c r="AU42" s="1162"/>
      <c r="AV42" s="1173"/>
      <c r="AW42" s="1174"/>
      <c r="AX42" s="1174"/>
      <c r="AY42" s="854">
        <v>0.75</v>
      </c>
      <c r="AZ42" s="940"/>
      <c r="BA42" s="490">
        <v>0.75</v>
      </c>
      <c r="BB42" s="1176"/>
      <c r="BC42" s="1162"/>
      <c r="BD42" s="1173"/>
      <c r="BE42" s="939"/>
      <c r="BF42" s="939"/>
      <c r="BG42" s="854">
        <v>0.75</v>
      </c>
      <c r="BH42" s="939"/>
      <c r="BI42" s="490">
        <v>0.75</v>
      </c>
      <c r="BJ42" s="1176"/>
      <c r="BK42" s="1162"/>
      <c r="BL42" s="1173"/>
      <c r="BM42" s="939"/>
      <c r="BN42" s="939"/>
      <c r="BO42" s="854">
        <v>0.75</v>
      </c>
      <c r="BP42" s="939"/>
      <c r="BQ42" s="490">
        <v>0.75</v>
      </c>
      <c r="BR42" s="1176"/>
      <c r="BS42" s="1162"/>
      <c r="BT42" s="1173"/>
      <c r="BU42" s="939"/>
      <c r="BV42" s="939"/>
      <c r="BW42" s="854">
        <v>0</v>
      </c>
      <c r="BX42" s="940"/>
      <c r="BY42" s="490">
        <v>0.75</v>
      </c>
      <c r="BZ42" s="1176"/>
      <c r="CA42" s="1162"/>
      <c r="CB42" s="1173"/>
      <c r="CC42" s="939"/>
      <c r="CD42" s="939"/>
      <c r="CE42" s="854">
        <v>0</v>
      </c>
      <c r="CF42" s="939"/>
      <c r="CG42" s="490">
        <v>0.75</v>
      </c>
      <c r="CH42" s="1176"/>
      <c r="CI42" s="1162"/>
      <c r="CJ42" s="1173"/>
      <c r="CK42" s="939"/>
      <c r="CL42" s="939"/>
      <c r="CM42" s="854">
        <v>0</v>
      </c>
      <c r="CN42" s="939"/>
      <c r="CO42" s="490">
        <v>0.75</v>
      </c>
      <c r="CP42" s="1176"/>
      <c r="CQ42" s="1162"/>
      <c r="CR42" s="1173"/>
      <c r="CS42" s="939"/>
      <c r="CT42" s="939"/>
      <c r="CU42" s="854">
        <v>0</v>
      </c>
      <c r="CV42" s="939"/>
      <c r="CW42" s="490">
        <v>0.75</v>
      </c>
      <c r="CX42" s="1176"/>
      <c r="CY42" s="1162"/>
      <c r="CZ42" s="1173"/>
      <c r="DA42" s="939"/>
      <c r="DB42" s="939"/>
      <c r="DC42" s="854">
        <v>0.75</v>
      </c>
      <c r="DD42" s="939"/>
      <c r="DE42" s="490">
        <v>0.75</v>
      </c>
      <c r="DF42" s="1176"/>
      <c r="DG42" s="1162"/>
      <c r="DH42" s="1173"/>
      <c r="DI42" s="939"/>
      <c r="DJ42" s="939"/>
      <c r="DK42" s="854">
        <v>0</v>
      </c>
      <c r="DL42" s="939"/>
      <c r="DM42" s="490">
        <v>0.75</v>
      </c>
      <c r="DN42" s="1176"/>
      <c r="DO42" s="1162"/>
      <c r="DP42" s="1173"/>
      <c r="DQ42" s="939"/>
      <c r="DR42" s="939"/>
      <c r="DS42" s="854">
        <v>0</v>
      </c>
      <c r="DT42" s="939"/>
      <c r="DU42" s="490">
        <v>0.75</v>
      </c>
      <c r="DV42" s="1176"/>
      <c r="DW42" s="1162"/>
      <c r="DX42" s="1173"/>
      <c r="DY42" s="939"/>
      <c r="DZ42" s="939"/>
      <c r="EA42" s="854">
        <v>0</v>
      </c>
      <c r="EB42" s="261"/>
      <c r="EC42" s="260">
        <v>0.75</v>
      </c>
      <c r="ED42" s="1177"/>
      <c r="EE42" s="323"/>
      <c r="EF42" s="1173"/>
      <c r="EG42" s="261"/>
      <c r="EH42" s="261"/>
      <c r="EI42" s="259">
        <v>0</v>
      </c>
      <c r="EJ42" s="261"/>
      <c r="EK42" s="260">
        <v>0.75</v>
      </c>
      <c r="EL42" s="1177"/>
      <c r="EM42" s="323"/>
      <c r="EN42" s="1173"/>
      <c r="EO42" s="261"/>
      <c r="EP42" s="261"/>
      <c r="EQ42" s="259">
        <v>0</v>
      </c>
      <c r="ER42" s="261"/>
      <c r="ES42" s="260">
        <v>0.75</v>
      </c>
      <c r="ET42" s="1177"/>
      <c r="EU42" s="323"/>
      <c r="EV42" s="1173"/>
      <c r="EW42" s="261"/>
      <c r="EX42" s="261"/>
      <c r="EY42" s="259">
        <v>0.75</v>
      </c>
      <c r="EZ42" s="261"/>
      <c r="FA42" s="260">
        <v>0.75</v>
      </c>
      <c r="FB42" s="1177"/>
    </row>
    <row r="43" spans="1:158" s="166" customFormat="1" ht="30" customHeight="1">
      <c r="A43" s="1733">
        <v>3.9</v>
      </c>
      <c r="B43" s="1733">
        <v>3.9</v>
      </c>
      <c r="C43" s="1737" t="s">
        <v>6</v>
      </c>
      <c r="D43" s="191" t="s">
        <v>70</v>
      </c>
      <c r="E43" s="886" t="s">
        <v>11</v>
      </c>
      <c r="F43" s="873">
        <v>1</v>
      </c>
      <c r="G43" s="874">
        <v>55</v>
      </c>
      <c r="H43" s="935"/>
      <c r="I43" s="472">
        <v>1</v>
      </c>
      <c r="J43" s="262">
        <v>6.93E-2</v>
      </c>
      <c r="K43" s="695">
        <v>6.93</v>
      </c>
      <c r="L43" s="936"/>
      <c r="M43" s="982">
        <v>0.25</v>
      </c>
      <c r="N43" s="695">
        <v>1.1807000000000001</v>
      </c>
      <c r="O43" s="936"/>
      <c r="P43" s="852">
        <v>0</v>
      </c>
      <c r="Q43" s="243">
        <v>0</v>
      </c>
      <c r="R43" s="412">
        <v>0</v>
      </c>
      <c r="S43" s="938"/>
      <c r="T43" s="852">
        <v>0</v>
      </c>
      <c r="U43" s="245">
        <v>0</v>
      </c>
      <c r="V43" s="412">
        <v>0</v>
      </c>
      <c r="W43" s="1159"/>
      <c r="X43" s="465">
        <v>0</v>
      </c>
      <c r="Y43" s="245">
        <v>0</v>
      </c>
      <c r="Z43" s="412">
        <v>0</v>
      </c>
      <c r="AA43" s="1159"/>
      <c r="AB43" s="465">
        <v>0</v>
      </c>
      <c r="AC43" s="245">
        <v>0</v>
      </c>
      <c r="AD43" s="412">
        <v>0</v>
      </c>
      <c r="AE43" s="1159"/>
      <c r="AF43" s="1148">
        <v>0</v>
      </c>
      <c r="AG43" s="1169">
        <v>0.14758750000000001</v>
      </c>
      <c r="AH43" s="1169">
        <v>0</v>
      </c>
      <c r="AI43" s="243">
        <v>0</v>
      </c>
      <c r="AJ43" s="243">
        <v>0</v>
      </c>
      <c r="AK43" s="243">
        <v>0</v>
      </c>
      <c r="AL43" s="1181"/>
      <c r="AM43" s="1162"/>
      <c r="AN43" s="1148">
        <v>0</v>
      </c>
      <c r="AO43" s="1169">
        <v>0.14758750000000001</v>
      </c>
      <c r="AP43" s="1169">
        <v>0</v>
      </c>
      <c r="AQ43" s="245">
        <v>0</v>
      </c>
      <c r="AR43" s="243">
        <v>0</v>
      </c>
      <c r="AS43" s="243">
        <v>0</v>
      </c>
      <c r="AT43" s="1181"/>
      <c r="AU43" s="1162"/>
      <c r="AV43" s="1148">
        <v>135.51283137122044</v>
      </c>
      <c r="AW43" s="1161">
        <v>0.14758750000000001</v>
      </c>
      <c r="AX43" s="1161">
        <v>0.2</v>
      </c>
      <c r="AY43" s="412">
        <v>11</v>
      </c>
      <c r="AZ43" s="1170">
        <v>0.2</v>
      </c>
      <c r="BA43" s="243">
        <v>11</v>
      </c>
      <c r="BB43" s="1181"/>
      <c r="BC43" s="1162"/>
      <c r="BD43" s="1148">
        <v>45.170943790406817</v>
      </c>
      <c r="BE43" s="245">
        <v>0.44276250000000006</v>
      </c>
      <c r="BF43" s="245">
        <v>0.2</v>
      </c>
      <c r="BG43" s="245">
        <v>11</v>
      </c>
      <c r="BH43" s="245">
        <v>0.2</v>
      </c>
      <c r="BI43" s="245">
        <v>11</v>
      </c>
      <c r="BJ43" s="412" t="s">
        <v>279</v>
      </c>
      <c r="BK43" s="1162"/>
      <c r="BL43" s="1148">
        <v>0</v>
      </c>
      <c r="BM43" s="245"/>
      <c r="BN43" s="245">
        <v>0.2</v>
      </c>
      <c r="BO43" s="245">
        <v>11</v>
      </c>
      <c r="BP43" s="245">
        <v>0.2</v>
      </c>
      <c r="BQ43" s="245">
        <v>11</v>
      </c>
      <c r="BR43" s="1181"/>
      <c r="BS43" s="1162"/>
      <c r="BT43" s="1148">
        <v>0</v>
      </c>
      <c r="BU43" s="1161">
        <v>0.13118888888888891</v>
      </c>
      <c r="BV43" s="1161">
        <v>0</v>
      </c>
      <c r="BW43" s="412">
        <v>0</v>
      </c>
      <c r="BX43" s="1170">
        <v>0.2</v>
      </c>
      <c r="BY43" s="243">
        <v>11</v>
      </c>
      <c r="BZ43" s="1181"/>
      <c r="CA43" s="1162"/>
      <c r="CB43" s="1148">
        <v>0</v>
      </c>
      <c r="CC43" s="1161">
        <v>0</v>
      </c>
      <c r="CD43" s="1161"/>
      <c r="CE43" s="245">
        <v>0</v>
      </c>
      <c r="CF43" s="245">
        <v>0.2</v>
      </c>
      <c r="CG43" s="243">
        <v>11</v>
      </c>
      <c r="CH43" s="1181"/>
      <c r="CI43" s="1162"/>
      <c r="CJ43" s="1148">
        <v>99.093757940204952</v>
      </c>
      <c r="CK43" s="1161">
        <v>0.13118888888888891</v>
      </c>
      <c r="CL43" s="1161">
        <v>0.13</v>
      </c>
      <c r="CM43" s="245">
        <v>7.15</v>
      </c>
      <c r="CN43" s="245">
        <v>0.33</v>
      </c>
      <c r="CO43" s="243">
        <v>18.150000000000002</v>
      </c>
      <c r="CP43" s="1181"/>
      <c r="CQ43" s="1162"/>
      <c r="CR43" s="1148">
        <v>49.546878970102476</v>
      </c>
      <c r="CS43" s="245">
        <v>0.26237777777777782</v>
      </c>
      <c r="CT43" s="245">
        <v>0.13</v>
      </c>
      <c r="CU43" s="245">
        <v>7.15</v>
      </c>
      <c r="CV43" s="245">
        <v>0.33</v>
      </c>
      <c r="CW43" s="245">
        <v>18.150000000000002</v>
      </c>
      <c r="CX43" s="412" t="s">
        <v>279</v>
      </c>
      <c r="CY43" s="1162"/>
      <c r="CZ43" s="1148">
        <v>0</v>
      </c>
      <c r="DA43" s="245"/>
      <c r="DB43" s="245">
        <v>0.33</v>
      </c>
      <c r="DC43" s="245">
        <v>18.150000000000002</v>
      </c>
      <c r="DD43" s="245">
        <v>0.33</v>
      </c>
      <c r="DE43" s="245">
        <v>18.150000000000002</v>
      </c>
      <c r="DF43" s="1181"/>
      <c r="DG43" s="1162"/>
      <c r="DH43" s="1148">
        <v>104.0484458372152</v>
      </c>
      <c r="DI43" s="1161">
        <v>0.13118888888888891</v>
      </c>
      <c r="DJ43" s="1161">
        <v>0.13650000000000001</v>
      </c>
      <c r="DK43" s="245">
        <v>7.5075000000000003</v>
      </c>
      <c r="DL43" s="245">
        <v>0.46650000000000003</v>
      </c>
      <c r="DM43" s="243">
        <v>25.657500000000002</v>
      </c>
      <c r="DN43" s="1181"/>
      <c r="DO43" s="1162"/>
      <c r="DP43" s="1148">
        <v>0</v>
      </c>
      <c r="DQ43" s="1161">
        <v>0.13118888888888891</v>
      </c>
      <c r="DR43" s="1161"/>
      <c r="DS43" s="245">
        <v>0</v>
      </c>
      <c r="DT43" s="245">
        <v>0.46650000000000003</v>
      </c>
      <c r="DU43" s="243">
        <v>25.657500000000002</v>
      </c>
      <c r="DV43" s="1181"/>
      <c r="DW43" s="1162"/>
      <c r="DX43" s="1148">
        <v>0</v>
      </c>
      <c r="DY43" s="1161">
        <v>0.13118888888888891</v>
      </c>
      <c r="DZ43" s="1161"/>
      <c r="EA43" s="245">
        <v>0</v>
      </c>
      <c r="EB43" s="245">
        <v>0.46650000000000003</v>
      </c>
      <c r="EC43" s="290">
        <v>25.657500000000002</v>
      </c>
      <c r="ED43" s="1182"/>
      <c r="EE43" s="323"/>
      <c r="EF43" s="1148">
        <v>34.682815279071733</v>
      </c>
      <c r="EG43" s="245">
        <v>0.39356666666666673</v>
      </c>
      <c r="EH43" s="245">
        <v>0.13650000000000001</v>
      </c>
      <c r="EI43" s="252">
        <v>7.5075000000000003</v>
      </c>
      <c r="EJ43" s="245">
        <v>0.46650000000000003</v>
      </c>
      <c r="EK43" s="295">
        <v>25.657500000000002</v>
      </c>
      <c r="EL43" s="246" t="s">
        <v>279</v>
      </c>
      <c r="EM43" s="323"/>
      <c r="EN43" s="1148">
        <v>40.628440755484029</v>
      </c>
      <c r="EO43" s="245">
        <v>0.65594444444444455</v>
      </c>
      <c r="EP43" s="245">
        <v>0.26650000000000001</v>
      </c>
      <c r="EQ43" s="252">
        <v>14.657500000000001</v>
      </c>
      <c r="ER43" s="245">
        <v>0.46650000000000003</v>
      </c>
      <c r="ES43" s="295">
        <v>25.657500000000002</v>
      </c>
      <c r="ET43" s="246" t="s">
        <v>279</v>
      </c>
      <c r="EU43" s="323"/>
      <c r="EV43" s="1148">
        <v>71.11882781400864</v>
      </c>
      <c r="EW43" s="245">
        <v>0.65594444444444455</v>
      </c>
      <c r="EX43" s="245">
        <v>0.46650000000000003</v>
      </c>
      <c r="EY43" s="252">
        <v>25.657500000000002</v>
      </c>
      <c r="EZ43" s="245">
        <v>0.46650000000000003</v>
      </c>
      <c r="FA43" s="295">
        <v>25.657500000000002</v>
      </c>
      <c r="FB43" s="1182"/>
    </row>
    <row r="44" spans="1:158" s="166" customFormat="1" ht="30" customHeight="1">
      <c r="A44" s="1733"/>
      <c r="B44" s="1733"/>
      <c r="C44" s="1737"/>
      <c r="D44" s="191" t="s">
        <v>71</v>
      </c>
      <c r="E44" s="886" t="s">
        <v>11</v>
      </c>
      <c r="F44" s="873">
        <v>1</v>
      </c>
      <c r="G44" s="874">
        <v>25</v>
      </c>
      <c r="H44" s="935"/>
      <c r="I44" s="469">
        <v>1</v>
      </c>
      <c r="J44" s="252">
        <v>0</v>
      </c>
      <c r="K44" s="694">
        <v>0</v>
      </c>
      <c r="L44" s="936"/>
      <c r="M44" s="294">
        <v>0.5</v>
      </c>
      <c r="N44" s="694">
        <v>1.5</v>
      </c>
      <c r="O44" s="936"/>
      <c r="P44" s="465">
        <v>0</v>
      </c>
      <c r="Q44" s="245">
        <v>0</v>
      </c>
      <c r="R44" s="412">
        <v>0</v>
      </c>
      <c r="S44" s="938"/>
      <c r="T44" s="465">
        <v>0</v>
      </c>
      <c r="U44" s="245">
        <v>0</v>
      </c>
      <c r="V44" s="412">
        <v>0</v>
      </c>
      <c r="W44" s="1159"/>
      <c r="X44" s="465">
        <v>0</v>
      </c>
      <c r="Y44" s="245">
        <v>0</v>
      </c>
      <c r="Z44" s="412">
        <v>0</v>
      </c>
      <c r="AA44" s="1159"/>
      <c r="AB44" s="465">
        <v>0</v>
      </c>
      <c r="AC44" s="245">
        <v>0</v>
      </c>
      <c r="AD44" s="412">
        <v>0</v>
      </c>
      <c r="AE44" s="1159"/>
      <c r="AF44" s="1148">
        <v>0</v>
      </c>
      <c r="AG44" s="1169">
        <v>0.25</v>
      </c>
      <c r="AH44" s="1169">
        <v>0</v>
      </c>
      <c r="AI44" s="245">
        <v>0</v>
      </c>
      <c r="AJ44" s="245">
        <v>0</v>
      </c>
      <c r="AK44" s="245">
        <v>0</v>
      </c>
      <c r="AL44" s="1183"/>
      <c r="AM44" s="1162"/>
      <c r="AN44" s="1148">
        <v>0</v>
      </c>
      <c r="AO44" s="1169">
        <v>0.25</v>
      </c>
      <c r="AP44" s="1169">
        <v>0</v>
      </c>
      <c r="AQ44" s="245">
        <v>0</v>
      </c>
      <c r="AR44" s="245">
        <v>0</v>
      </c>
      <c r="AS44" s="245">
        <v>0</v>
      </c>
      <c r="AT44" s="1183"/>
      <c r="AU44" s="1162"/>
      <c r="AV44" s="1148">
        <v>0</v>
      </c>
      <c r="AW44" s="1161">
        <v>0.25</v>
      </c>
      <c r="AX44" s="1161">
        <v>0</v>
      </c>
      <c r="AY44" s="412">
        <v>0</v>
      </c>
      <c r="AZ44" s="1170">
        <v>0</v>
      </c>
      <c r="BA44" s="245">
        <v>0</v>
      </c>
      <c r="BB44" s="1183"/>
      <c r="BC44" s="1162"/>
      <c r="BD44" s="1148">
        <v>0</v>
      </c>
      <c r="BE44" s="245">
        <v>0.75</v>
      </c>
      <c r="BF44" s="245">
        <v>0</v>
      </c>
      <c r="BG44" s="245">
        <v>0</v>
      </c>
      <c r="BH44" s="245">
        <v>0</v>
      </c>
      <c r="BI44" s="245">
        <v>0</v>
      </c>
      <c r="BJ44" s="412" t="s">
        <v>279</v>
      </c>
      <c r="BK44" s="1162"/>
      <c r="BL44" s="1148">
        <v>0</v>
      </c>
      <c r="BM44" s="245"/>
      <c r="BN44" s="245">
        <v>0</v>
      </c>
      <c r="BO44" s="245">
        <v>0</v>
      </c>
      <c r="BP44" s="245">
        <v>0</v>
      </c>
      <c r="BQ44" s="245">
        <v>0</v>
      </c>
      <c r="BR44" s="1183"/>
      <c r="BS44" s="1162"/>
      <c r="BT44" s="1148">
        <v>0</v>
      </c>
      <c r="BU44" s="1161">
        <v>0.16666666666666666</v>
      </c>
      <c r="BV44" s="1161">
        <v>0</v>
      </c>
      <c r="BW44" s="412">
        <v>0</v>
      </c>
      <c r="BX44" s="1170">
        <v>0</v>
      </c>
      <c r="BY44" s="245">
        <v>0</v>
      </c>
      <c r="BZ44" s="1183"/>
      <c r="CA44" s="1162"/>
      <c r="CB44" s="1148">
        <v>0</v>
      </c>
      <c r="CC44" s="1161">
        <v>0</v>
      </c>
      <c r="CD44" s="1161"/>
      <c r="CE44" s="245">
        <v>0</v>
      </c>
      <c r="CF44" s="245">
        <v>0</v>
      </c>
      <c r="CG44" s="245">
        <v>0</v>
      </c>
      <c r="CH44" s="1183"/>
      <c r="CI44" s="1162"/>
      <c r="CJ44" s="1148">
        <v>0</v>
      </c>
      <c r="CK44" s="1161">
        <v>0.16666666666666666</v>
      </c>
      <c r="CL44" s="1161">
        <v>0</v>
      </c>
      <c r="CM44" s="245">
        <v>0</v>
      </c>
      <c r="CN44" s="245">
        <v>0</v>
      </c>
      <c r="CO44" s="245">
        <v>0</v>
      </c>
      <c r="CP44" s="1183"/>
      <c r="CQ44" s="1162"/>
      <c r="CR44" s="1148">
        <v>0</v>
      </c>
      <c r="CS44" s="245">
        <v>0.33333333333333331</v>
      </c>
      <c r="CT44" s="245">
        <v>0</v>
      </c>
      <c r="CU44" s="245">
        <v>0</v>
      </c>
      <c r="CV44" s="245">
        <v>0</v>
      </c>
      <c r="CW44" s="245">
        <v>0</v>
      </c>
      <c r="CX44" s="412" t="s">
        <v>279</v>
      </c>
      <c r="CY44" s="1162"/>
      <c r="CZ44" s="1148">
        <v>0</v>
      </c>
      <c r="DA44" s="245"/>
      <c r="DB44" s="245">
        <v>0</v>
      </c>
      <c r="DC44" s="245">
        <v>0</v>
      </c>
      <c r="DD44" s="245">
        <v>0</v>
      </c>
      <c r="DE44" s="245">
        <v>0</v>
      </c>
      <c r="DF44" s="1183"/>
      <c r="DG44" s="1162"/>
      <c r="DH44" s="1148">
        <v>0</v>
      </c>
      <c r="DI44" s="1161">
        <v>0.16666666666666666</v>
      </c>
      <c r="DJ44" s="1161">
        <v>0</v>
      </c>
      <c r="DK44" s="245">
        <v>0</v>
      </c>
      <c r="DL44" s="245">
        <v>0</v>
      </c>
      <c r="DM44" s="245">
        <v>0</v>
      </c>
      <c r="DN44" s="1183"/>
      <c r="DO44" s="1162"/>
      <c r="DP44" s="1148">
        <v>0</v>
      </c>
      <c r="DQ44" s="1161">
        <v>0.16666666666666666</v>
      </c>
      <c r="DR44" s="1161"/>
      <c r="DS44" s="245">
        <v>0</v>
      </c>
      <c r="DT44" s="245">
        <v>0</v>
      </c>
      <c r="DU44" s="245">
        <v>0</v>
      </c>
      <c r="DV44" s="1183"/>
      <c r="DW44" s="1162"/>
      <c r="DX44" s="1148">
        <v>0</v>
      </c>
      <c r="DY44" s="1161">
        <v>0.16666666666666666</v>
      </c>
      <c r="DZ44" s="1161"/>
      <c r="EA44" s="245">
        <v>0</v>
      </c>
      <c r="EB44" s="245">
        <v>0</v>
      </c>
      <c r="EC44" s="295">
        <v>0</v>
      </c>
      <c r="ED44" s="1184"/>
      <c r="EE44" s="323"/>
      <c r="EF44" s="1148">
        <v>0</v>
      </c>
      <c r="EG44" s="245">
        <v>0.5</v>
      </c>
      <c r="EH44" s="245">
        <v>0</v>
      </c>
      <c r="EI44" s="252">
        <v>0</v>
      </c>
      <c r="EJ44" s="245">
        <v>0</v>
      </c>
      <c r="EK44" s="295">
        <v>0</v>
      </c>
      <c r="EL44" s="246" t="s">
        <v>279</v>
      </c>
      <c r="EM44" s="323"/>
      <c r="EN44" s="1148">
        <v>0</v>
      </c>
      <c r="EO44" s="245">
        <v>0.83333333333333326</v>
      </c>
      <c r="EP44" s="245">
        <v>0</v>
      </c>
      <c r="EQ44" s="252">
        <v>0</v>
      </c>
      <c r="ER44" s="245">
        <v>0</v>
      </c>
      <c r="ES44" s="295">
        <v>0</v>
      </c>
      <c r="ET44" s="246" t="s">
        <v>279</v>
      </c>
      <c r="EU44" s="323"/>
      <c r="EV44" s="1148">
        <v>0</v>
      </c>
      <c r="EW44" s="245">
        <v>0.83333333333333326</v>
      </c>
      <c r="EX44" s="245">
        <v>0</v>
      </c>
      <c r="EY44" s="252">
        <v>0</v>
      </c>
      <c r="EZ44" s="245">
        <v>0</v>
      </c>
      <c r="FA44" s="295">
        <v>0</v>
      </c>
      <c r="FB44" s="1184"/>
    </row>
    <row r="45" spans="1:158" s="166" customFormat="1" ht="30" customHeight="1">
      <c r="A45" s="1734"/>
      <c r="B45" s="1734"/>
      <c r="C45" s="1738"/>
      <c r="D45" s="192" t="s">
        <v>72</v>
      </c>
      <c r="E45" s="887" t="s">
        <v>11</v>
      </c>
      <c r="F45" s="875">
        <v>1</v>
      </c>
      <c r="G45" s="876">
        <v>20</v>
      </c>
      <c r="H45" s="935"/>
      <c r="I45" s="469">
        <v>1</v>
      </c>
      <c r="J45" s="252">
        <v>0</v>
      </c>
      <c r="K45" s="694">
        <v>0</v>
      </c>
      <c r="L45" s="936"/>
      <c r="M45" s="294">
        <v>0.3</v>
      </c>
      <c r="N45" s="694">
        <v>1.3</v>
      </c>
      <c r="O45" s="936"/>
      <c r="P45" s="465">
        <v>0</v>
      </c>
      <c r="Q45" s="245">
        <v>0</v>
      </c>
      <c r="R45" s="412">
        <v>0</v>
      </c>
      <c r="S45" s="938"/>
      <c r="T45" s="465">
        <v>0</v>
      </c>
      <c r="U45" s="245">
        <v>0</v>
      </c>
      <c r="V45" s="412">
        <v>0</v>
      </c>
      <c r="W45" s="1159"/>
      <c r="X45" s="465">
        <v>0</v>
      </c>
      <c r="Y45" s="245">
        <v>0</v>
      </c>
      <c r="Z45" s="412">
        <v>0</v>
      </c>
      <c r="AA45" s="1159"/>
      <c r="AB45" s="465">
        <v>0</v>
      </c>
      <c r="AC45" s="245">
        <v>0</v>
      </c>
      <c r="AD45" s="412">
        <v>0</v>
      </c>
      <c r="AE45" s="1159"/>
      <c r="AF45" s="1148">
        <v>0</v>
      </c>
      <c r="AG45" s="1169">
        <v>0</v>
      </c>
      <c r="AH45" s="1169">
        <v>0</v>
      </c>
      <c r="AI45" s="245">
        <v>0</v>
      </c>
      <c r="AJ45" s="245">
        <v>0</v>
      </c>
      <c r="AK45" s="245">
        <v>0</v>
      </c>
      <c r="AL45" s="1183"/>
      <c r="AM45" s="1162"/>
      <c r="AN45" s="1148">
        <v>0</v>
      </c>
      <c r="AO45" s="1169">
        <v>0</v>
      </c>
      <c r="AP45" s="1169">
        <v>0</v>
      </c>
      <c r="AQ45" s="245">
        <v>0</v>
      </c>
      <c r="AR45" s="245">
        <v>0</v>
      </c>
      <c r="AS45" s="245">
        <v>0</v>
      </c>
      <c r="AT45" s="1183"/>
      <c r="AU45" s="1162"/>
      <c r="AV45" s="1148">
        <v>0</v>
      </c>
      <c r="AW45" s="1161">
        <v>0</v>
      </c>
      <c r="AX45" s="1161">
        <v>0</v>
      </c>
      <c r="AY45" s="412">
        <v>0</v>
      </c>
      <c r="AZ45" s="1170">
        <v>0</v>
      </c>
      <c r="BA45" s="245">
        <v>0</v>
      </c>
      <c r="BB45" s="1183"/>
      <c r="BC45" s="1162"/>
      <c r="BD45" s="1148">
        <v>0</v>
      </c>
      <c r="BE45" s="245">
        <v>0</v>
      </c>
      <c r="BF45" s="245">
        <v>0</v>
      </c>
      <c r="BG45" s="245">
        <v>0</v>
      </c>
      <c r="BH45" s="245">
        <v>0</v>
      </c>
      <c r="BI45" s="245">
        <v>0</v>
      </c>
      <c r="BJ45" s="412" t="s">
        <v>279</v>
      </c>
      <c r="BK45" s="1162"/>
      <c r="BL45" s="1148">
        <v>0</v>
      </c>
      <c r="BM45" s="245"/>
      <c r="BN45" s="245">
        <v>0</v>
      </c>
      <c r="BO45" s="245">
        <v>0</v>
      </c>
      <c r="BP45" s="245">
        <v>0</v>
      </c>
      <c r="BQ45" s="245">
        <v>0</v>
      </c>
      <c r="BR45" s="1183"/>
      <c r="BS45" s="1162"/>
      <c r="BT45" s="1148">
        <v>0</v>
      </c>
      <c r="BU45" s="1161">
        <v>0</v>
      </c>
      <c r="BV45" s="1161">
        <v>0</v>
      </c>
      <c r="BW45" s="412">
        <v>0</v>
      </c>
      <c r="BX45" s="1170">
        <v>0</v>
      </c>
      <c r="BY45" s="245">
        <v>0</v>
      </c>
      <c r="BZ45" s="1183"/>
      <c r="CA45" s="1162"/>
      <c r="CB45" s="1148">
        <v>0</v>
      </c>
      <c r="CC45" s="1161">
        <v>0</v>
      </c>
      <c r="CD45" s="1161"/>
      <c r="CE45" s="245">
        <v>0</v>
      </c>
      <c r="CF45" s="245">
        <v>0</v>
      </c>
      <c r="CG45" s="245">
        <v>0</v>
      </c>
      <c r="CH45" s="1183"/>
      <c r="CI45" s="1162"/>
      <c r="CJ45" s="1148">
        <v>0</v>
      </c>
      <c r="CK45" s="1161">
        <v>0.14444444444444446</v>
      </c>
      <c r="CL45" s="1161">
        <v>0</v>
      </c>
      <c r="CM45" s="245">
        <v>0</v>
      </c>
      <c r="CN45" s="245">
        <v>0</v>
      </c>
      <c r="CO45" s="245">
        <v>0</v>
      </c>
      <c r="CP45" s="1183"/>
      <c r="CQ45" s="1162"/>
      <c r="CR45" s="1148">
        <v>0</v>
      </c>
      <c r="CS45" s="245">
        <v>0.14444444444444446</v>
      </c>
      <c r="CT45" s="245">
        <v>0</v>
      </c>
      <c r="CU45" s="245">
        <v>0</v>
      </c>
      <c r="CV45" s="245">
        <v>0</v>
      </c>
      <c r="CW45" s="245">
        <v>0</v>
      </c>
      <c r="CX45" s="412" t="s">
        <v>279</v>
      </c>
      <c r="CY45" s="1162"/>
      <c r="CZ45" s="1148">
        <v>0</v>
      </c>
      <c r="DA45" s="245"/>
      <c r="DB45" s="245">
        <v>0</v>
      </c>
      <c r="DC45" s="245">
        <v>0</v>
      </c>
      <c r="DD45" s="245">
        <v>0</v>
      </c>
      <c r="DE45" s="245">
        <v>0</v>
      </c>
      <c r="DF45" s="1183"/>
      <c r="DG45" s="1162"/>
      <c r="DH45" s="1148">
        <v>0</v>
      </c>
      <c r="DI45" s="1161">
        <v>0.14444444444444446</v>
      </c>
      <c r="DJ45" s="1161">
        <v>0</v>
      </c>
      <c r="DK45" s="245">
        <v>0</v>
      </c>
      <c r="DL45" s="245">
        <v>0</v>
      </c>
      <c r="DM45" s="245">
        <v>0</v>
      </c>
      <c r="DN45" s="1183"/>
      <c r="DO45" s="1162"/>
      <c r="DP45" s="1148">
        <v>0</v>
      </c>
      <c r="DQ45" s="1161">
        <v>0.14444444444444446</v>
      </c>
      <c r="DR45" s="1161"/>
      <c r="DS45" s="245">
        <v>0</v>
      </c>
      <c r="DT45" s="245">
        <v>0</v>
      </c>
      <c r="DU45" s="245">
        <v>0</v>
      </c>
      <c r="DV45" s="1183"/>
      <c r="DW45" s="1162"/>
      <c r="DX45" s="1148">
        <v>0</v>
      </c>
      <c r="DY45" s="1161">
        <v>0.14444444444444446</v>
      </c>
      <c r="DZ45" s="1161"/>
      <c r="EA45" s="245">
        <v>0</v>
      </c>
      <c r="EB45" s="245">
        <v>0</v>
      </c>
      <c r="EC45" s="295">
        <v>0</v>
      </c>
      <c r="ED45" s="1184"/>
      <c r="EE45" s="323"/>
      <c r="EF45" s="1148">
        <v>0</v>
      </c>
      <c r="EG45" s="245">
        <v>0.43333333333333335</v>
      </c>
      <c r="EH45" s="245">
        <v>0</v>
      </c>
      <c r="EI45" s="252">
        <v>0</v>
      </c>
      <c r="EJ45" s="245">
        <v>0</v>
      </c>
      <c r="EK45" s="295">
        <v>0</v>
      </c>
      <c r="EL45" s="246" t="s">
        <v>279</v>
      </c>
      <c r="EM45" s="323"/>
      <c r="EN45" s="1148">
        <v>0</v>
      </c>
      <c r="EO45" s="245">
        <v>0.57777777777777783</v>
      </c>
      <c r="EP45" s="245">
        <v>0</v>
      </c>
      <c r="EQ45" s="252">
        <v>0</v>
      </c>
      <c r="ER45" s="245">
        <v>0</v>
      </c>
      <c r="ES45" s="295">
        <v>0</v>
      </c>
      <c r="ET45" s="246" t="s">
        <v>279</v>
      </c>
      <c r="EU45" s="323"/>
      <c r="EV45" s="1148">
        <v>0</v>
      </c>
      <c r="EW45" s="245">
        <v>0.57777777777777783</v>
      </c>
      <c r="EX45" s="245">
        <v>0</v>
      </c>
      <c r="EY45" s="252">
        <v>0</v>
      </c>
      <c r="EZ45" s="245">
        <v>0</v>
      </c>
      <c r="FA45" s="295">
        <v>0</v>
      </c>
      <c r="FB45" s="1184"/>
    </row>
    <row r="46" spans="1:158" s="166" customFormat="1" ht="30" customHeight="1" thickBot="1">
      <c r="A46" s="1735"/>
      <c r="B46" s="1735"/>
      <c r="C46" s="1739"/>
      <c r="D46" s="924" t="s">
        <v>14</v>
      </c>
      <c r="E46" s="927"/>
      <c r="F46" s="883"/>
      <c r="G46" s="883">
        <v>100</v>
      </c>
      <c r="H46" s="937"/>
      <c r="I46" s="478"/>
      <c r="J46" s="278"/>
      <c r="K46" s="481">
        <v>6.93</v>
      </c>
      <c r="L46" s="1164"/>
      <c r="M46" s="279"/>
      <c r="N46" s="280"/>
      <c r="O46" s="1164"/>
      <c r="P46" s="856" t="s">
        <v>4</v>
      </c>
      <c r="Q46" s="857" t="s">
        <v>4</v>
      </c>
      <c r="R46" s="855">
        <v>0</v>
      </c>
      <c r="S46" s="941"/>
      <c r="T46" s="856"/>
      <c r="U46" s="857" t="s">
        <v>4</v>
      </c>
      <c r="V46" s="855">
        <v>0</v>
      </c>
      <c r="W46" s="1185"/>
      <c r="X46" s="856"/>
      <c r="Y46" s="857" t="s">
        <v>4</v>
      </c>
      <c r="Z46" s="855">
        <v>0</v>
      </c>
      <c r="AA46" s="1185"/>
      <c r="AB46" s="856"/>
      <c r="AC46" s="857" t="s">
        <v>4</v>
      </c>
      <c r="AD46" s="855">
        <v>0</v>
      </c>
      <c r="AE46" s="1185"/>
      <c r="AF46" s="1186"/>
      <c r="AG46" s="1187"/>
      <c r="AH46" s="1187"/>
      <c r="AI46" s="857">
        <v>0</v>
      </c>
      <c r="AJ46" s="1188"/>
      <c r="AK46" s="857">
        <v>0</v>
      </c>
      <c r="AL46" s="1189"/>
      <c r="AM46" s="1190"/>
      <c r="AN46" s="1186"/>
      <c r="AO46" s="1187"/>
      <c r="AP46" s="1187"/>
      <c r="AQ46" s="855">
        <v>0</v>
      </c>
      <c r="AR46" s="1188"/>
      <c r="AS46" s="857">
        <v>0</v>
      </c>
      <c r="AT46" s="1189"/>
      <c r="AU46" s="1190"/>
      <c r="AV46" s="1186"/>
      <c r="AW46" s="1187"/>
      <c r="AX46" s="1187"/>
      <c r="AY46" s="855">
        <v>11</v>
      </c>
      <c r="AZ46" s="1191"/>
      <c r="BA46" s="857">
        <v>11</v>
      </c>
      <c r="BB46" s="1189"/>
      <c r="BC46" s="1190"/>
      <c r="BD46" s="1186"/>
      <c r="BE46" s="1188"/>
      <c r="BF46" s="1188"/>
      <c r="BG46" s="855">
        <v>11</v>
      </c>
      <c r="BH46" s="1188"/>
      <c r="BI46" s="857">
        <v>11</v>
      </c>
      <c r="BJ46" s="1189"/>
      <c r="BK46" s="1190"/>
      <c r="BL46" s="1186"/>
      <c r="BM46" s="1188"/>
      <c r="BN46" s="1188"/>
      <c r="BO46" s="857">
        <v>11</v>
      </c>
      <c r="BP46" s="1188"/>
      <c r="BQ46" s="857">
        <v>11</v>
      </c>
      <c r="BR46" s="1189"/>
      <c r="BS46" s="1190"/>
      <c r="BT46" s="1186"/>
      <c r="BU46" s="1188"/>
      <c r="BV46" s="1188"/>
      <c r="BW46" s="855">
        <v>0</v>
      </c>
      <c r="BX46" s="1191"/>
      <c r="BY46" s="857">
        <v>11</v>
      </c>
      <c r="BZ46" s="1189"/>
      <c r="CA46" s="1190"/>
      <c r="CB46" s="1186"/>
      <c r="CC46" s="1188"/>
      <c r="CD46" s="1188"/>
      <c r="CE46" s="855">
        <v>0</v>
      </c>
      <c r="CF46" s="1188"/>
      <c r="CG46" s="857">
        <v>11</v>
      </c>
      <c r="CH46" s="1189"/>
      <c r="CI46" s="1190"/>
      <c r="CJ46" s="1186"/>
      <c r="CK46" s="1188"/>
      <c r="CL46" s="1188"/>
      <c r="CM46" s="855">
        <v>7.15</v>
      </c>
      <c r="CN46" s="1188"/>
      <c r="CO46" s="857">
        <v>18.150000000000002</v>
      </c>
      <c r="CP46" s="1189"/>
      <c r="CQ46" s="1190"/>
      <c r="CR46" s="1186"/>
      <c r="CS46" s="1188"/>
      <c r="CT46" s="1188"/>
      <c r="CU46" s="855">
        <v>7.15</v>
      </c>
      <c r="CV46" s="1188"/>
      <c r="CW46" s="857">
        <v>18.150000000000002</v>
      </c>
      <c r="CX46" s="1189"/>
      <c r="CY46" s="1190"/>
      <c r="CZ46" s="1186"/>
      <c r="DA46" s="1188"/>
      <c r="DB46" s="1188"/>
      <c r="DC46" s="855">
        <v>18.150000000000002</v>
      </c>
      <c r="DD46" s="1188"/>
      <c r="DE46" s="857">
        <v>18.150000000000002</v>
      </c>
      <c r="DF46" s="1189"/>
      <c r="DG46" s="1190"/>
      <c r="DH46" s="1186"/>
      <c r="DI46" s="1188"/>
      <c r="DJ46" s="1188"/>
      <c r="DK46" s="855">
        <v>7.5075000000000003</v>
      </c>
      <c r="DL46" s="1188"/>
      <c r="DM46" s="857">
        <v>25.657500000000002</v>
      </c>
      <c r="DN46" s="1189"/>
      <c r="DO46" s="1190"/>
      <c r="DP46" s="1186"/>
      <c r="DQ46" s="1188"/>
      <c r="DR46" s="1188"/>
      <c r="DS46" s="855">
        <v>0</v>
      </c>
      <c r="DT46" s="1188"/>
      <c r="DU46" s="857">
        <v>25.657500000000002</v>
      </c>
      <c r="DV46" s="1189"/>
      <c r="DW46" s="1190"/>
      <c r="DX46" s="1186"/>
      <c r="DY46" s="1188"/>
      <c r="DZ46" s="1188"/>
      <c r="EA46" s="855">
        <v>0</v>
      </c>
      <c r="EB46" s="1192"/>
      <c r="EC46" s="281">
        <v>25.657500000000002</v>
      </c>
      <c r="ED46" s="1193"/>
      <c r="EE46" s="323"/>
      <c r="EF46" s="1194"/>
      <c r="EG46" s="261"/>
      <c r="EH46" s="261"/>
      <c r="EI46" s="259">
        <v>7.5075000000000003</v>
      </c>
      <c r="EJ46" s="1192"/>
      <c r="EK46" s="281">
        <v>25.657500000000002</v>
      </c>
      <c r="EL46" s="1193"/>
      <c r="EM46" s="323"/>
      <c r="EN46" s="1194"/>
      <c r="EO46" s="261"/>
      <c r="EP46" s="261"/>
      <c r="EQ46" s="259">
        <v>14.657500000000001</v>
      </c>
      <c r="ER46" s="1192"/>
      <c r="ES46" s="281">
        <v>25.657500000000002</v>
      </c>
      <c r="ET46" s="1193"/>
      <c r="EU46" s="323"/>
      <c r="EV46" s="1194"/>
      <c r="EW46" s="261"/>
      <c r="EX46" s="261"/>
      <c r="EY46" s="259">
        <v>25.657500000000002</v>
      </c>
      <c r="EZ46" s="1192"/>
      <c r="FA46" s="281">
        <v>25.657500000000002</v>
      </c>
      <c r="FB46" s="1193"/>
    </row>
    <row r="47" spans="1:158" ht="16.5" hidden="1" thickTop="1" thickBot="1">
      <c r="A47" s="217"/>
      <c r="B47" s="217"/>
      <c r="C47" s="217"/>
      <c r="D47" s="967" t="s">
        <v>729</v>
      </c>
      <c r="E47" s="217"/>
      <c r="F47" s="282"/>
      <c r="G47" s="282"/>
      <c r="H47" s="282"/>
      <c r="I47" s="691"/>
      <c r="J47" s="242"/>
      <c r="K47" s="733">
        <v>66.33</v>
      </c>
      <c r="L47" s="242"/>
      <c r="M47" s="242"/>
      <c r="N47" s="242"/>
      <c r="O47" s="242"/>
      <c r="P47" s="242"/>
      <c r="Q47" s="733"/>
      <c r="R47" s="733">
        <v>0</v>
      </c>
      <c r="S47" s="283"/>
      <c r="T47" s="283"/>
      <c r="U47" s="284"/>
      <c r="V47" s="284">
        <v>0</v>
      </c>
      <c r="W47" s="242"/>
      <c r="X47" s="242"/>
      <c r="Y47" s="285"/>
      <c r="Z47" s="285">
        <v>7.3249999999999993</v>
      </c>
      <c r="AA47" s="242"/>
      <c r="AB47" s="242"/>
      <c r="AC47" s="285"/>
      <c r="AD47" s="285">
        <v>7.3249999999999993</v>
      </c>
      <c r="AE47" s="247"/>
      <c r="AF47" s="242"/>
      <c r="AG47" s="242"/>
      <c r="AH47" s="242"/>
      <c r="AI47" s="732">
        <v>18.5</v>
      </c>
      <c r="AJ47" s="242"/>
      <c r="AK47" s="410">
        <v>25.825000000000003</v>
      </c>
      <c r="AL47" s="286"/>
      <c r="AM47" s="248"/>
      <c r="AN47" s="242"/>
      <c r="AO47" s="242"/>
      <c r="AP47" s="242"/>
      <c r="AQ47" s="732">
        <v>10</v>
      </c>
      <c r="AR47" s="242"/>
      <c r="AS47" s="410">
        <v>605.625</v>
      </c>
      <c r="AT47" s="286"/>
      <c r="AU47" s="248"/>
      <c r="AV47" s="242"/>
      <c r="AW47" s="242"/>
      <c r="AX47" s="242"/>
      <c r="AY47" s="732">
        <v>57.25</v>
      </c>
      <c r="AZ47" s="242"/>
      <c r="BA47" s="410">
        <v>662.875</v>
      </c>
      <c r="BB47" s="286"/>
      <c r="BC47" s="248"/>
      <c r="BD47" s="242"/>
      <c r="BE47" s="242"/>
      <c r="BF47" s="242"/>
      <c r="BG47" s="928">
        <v>85.75</v>
      </c>
      <c r="BH47" s="242"/>
      <c r="BI47" s="410">
        <v>662.875</v>
      </c>
      <c r="BJ47" s="286"/>
      <c r="BK47" s="248"/>
      <c r="BL47" s="242"/>
      <c r="BM47" s="242"/>
      <c r="BN47" s="242"/>
      <c r="BO47" s="928">
        <v>93.075000000000003</v>
      </c>
      <c r="BP47" s="242"/>
      <c r="BQ47" s="410">
        <v>662.875</v>
      </c>
      <c r="BR47" s="286"/>
      <c r="BS47" s="248"/>
      <c r="BT47" s="242"/>
      <c r="BU47" s="242"/>
      <c r="BV47" s="242"/>
      <c r="BW47" s="928">
        <v>0.65</v>
      </c>
      <c r="BX47" s="242"/>
      <c r="BY47" s="410">
        <v>663.52499999999998</v>
      </c>
      <c r="BZ47" s="286"/>
      <c r="CA47" s="248"/>
      <c r="CB47" s="242"/>
      <c r="CC47" s="242"/>
      <c r="CD47" s="242"/>
      <c r="CE47" s="928">
        <v>16.8</v>
      </c>
      <c r="CF47" s="242"/>
      <c r="CG47" s="410">
        <v>680.32500000000005</v>
      </c>
      <c r="CH47" s="286"/>
      <c r="CI47" s="248"/>
      <c r="CJ47" s="242"/>
      <c r="CK47" s="242"/>
      <c r="CL47" s="242"/>
      <c r="CM47" s="928">
        <v>49.6</v>
      </c>
      <c r="CN47" s="242"/>
      <c r="CO47" s="410">
        <v>729.92499999999995</v>
      </c>
      <c r="CP47" s="286"/>
      <c r="CQ47" s="248"/>
      <c r="CR47" s="242"/>
      <c r="CS47" s="242"/>
      <c r="CT47" s="242"/>
      <c r="CU47" s="928">
        <v>67.050000000000011</v>
      </c>
      <c r="CV47" s="242"/>
      <c r="CW47" s="410">
        <v>729.92499999999995</v>
      </c>
      <c r="CX47" s="286"/>
      <c r="CY47" s="248"/>
      <c r="CZ47" s="242"/>
      <c r="DA47" s="242"/>
      <c r="DB47" s="242"/>
      <c r="DC47" s="928">
        <v>160.125</v>
      </c>
      <c r="DD47" s="242"/>
      <c r="DE47" s="410">
        <v>729.92499999999995</v>
      </c>
      <c r="DF47" s="286"/>
      <c r="DG47" s="248"/>
      <c r="DH47" s="242"/>
      <c r="DI47" s="242"/>
      <c r="DJ47" s="242"/>
      <c r="DK47" s="928">
        <v>52.08</v>
      </c>
      <c r="DL47" s="242"/>
      <c r="DM47" s="410">
        <v>782.005</v>
      </c>
      <c r="DN47" s="286"/>
      <c r="DO47" s="248"/>
      <c r="DP47" s="242"/>
      <c r="DQ47" s="242"/>
      <c r="DR47" s="242"/>
      <c r="DS47" s="928">
        <v>0</v>
      </c>
      <c r="DT47" s="242"/>
      <c r="DU47" s="410">
        <v>782.005</v>
      </c>
      <c r="DV47" s="286"/>
      <c r="DW47" s="248"/>
      <c r="DX47" s="242"/>
      <c r="DY47" s="242"/>
      <c r="DZ47" s="242"/>
      <c r="EA47" s="928">
        <v>0</v>
      </c>
      <c r="EB47" s="242"/>
      <c r="EC47" s="410">
        <v>782.005</v>
      </c>
      <c r="ED47" s="286"/>
      <c r="EE47" s="248"/>
      <c r="EF47" s="242"/>
      <c r="EG47" s="242"/>
      <c r="EH47" s="242"/>
      <c r="EI47" s="259">
        <v>52.08</v>
      </c>
      <c r="EJ47" s="242"/>
      <c r="EK47" s="281">
        <v>782.005</v>
      </c>
      <c r="EL47" s="286"/>
      <c r="EM47" s="248"/>
      <c r="EN47" s="242"/>
      <c r="EO47" s="242"/>
      <c r="EP47" s="242"/>
      <c r="EQ47" s="259">
        <v>119.13000000000001</v>
      </c>
      <c r="ER47" s="242"/>
      <c r="ES47" s="281">
        <v>782.005</v>
      </c>
      <c r="ET47" s="286"/>
      <c r="EU47" s="248"/>
      <c r="EV47" s="242"/>
      <c r="EW47" s="242"/>
      <c r="EX47" s="242"/>
      <c r="EY47" s="259">
        <v>212.20500000000001</v>
      </c>
      <c r="EZ47" s="242"/>
      <c r="FA47" s="281">
        <v>782.005</v>
      </c>
      <c r="FB47" s="286"/>
    </row>
    <row r="48" spans="1:158" ht="15.75" thickTop="1"/>
    <row r="49" spans="4:131" hidden="1">
      <c r="D49" s="955" t="s">
        <v>782</v>
      </c>
      <c r="K49" s="966">
        <v>66.33</v>
      </c>
      <c r="L49" s="760"/>
      <c r="M49" s="760"/>
      <c r="N49" s="760"/>
      <c r="O49" s="760"/>
      <c r="P49" s="760"/>
      <c r="Q49" s="760"/>
      <c r="R49" s="760">
        <v>0</v>
      </c>
      <c r="S49" s="760"/>
      <c r="T49" s="760"/>
      <c r="U49" s="760"/>
      <c r="V49" s="760">
        <v>0</v>
      </c>
      <c r="W49" s="760"/>
      <c r="X49" s="760"/>
      <c r="Y49" s="760"/>
      <c r="Z49" s="760">
        <v>3.9966666666666666</v>
      </c>
      <c r="AA49" s="760"/>
      <c r="AB49" s="760"/>
      <c r="AC49" s="760"/>
      <c r="AD49" s="760">
        <v>3.9966666666666666</v>
      </c>
      <c r="AE49" s="760"/>
      <c r="AF49" s="760"/>
      <c r="AG49" s="760"/>
      <c r="AH49" s="760"/>
      <c r="AI49" s="760">
        <v>16.833333333333336</v>
      </c>
      <c r="AJ49" s="760"/>
      <c r="AK49" s="760">
        <v>20.830000000000002</v>
      </c>
      <c r="AL49" s="760"/>
      <c r="AM49" s="760"/>
      <c r="AN49" s="760"/>
      <c r="AO49" s="760"/>
      <c r="AP49" s="760"/>
      <c r="AQ49" s="760">
        <v>8.3333333333333339</v>
      </c>
      <c r="AR49" s="760"/>
      <c r="AS49" s="760">
        <v>438.58333333333337</v>
      </c>
      <c r="AT49" s="760"/>
      <c r="AU49" s="760"/>
      <c r="AV49" s="760"/>
      <c r="AW49" s="760"/>
      <c r="AX49" s="760"/>
      <c r="AY49" s="760">
        <v>32.333333333333336</v>
      </c>
      <c r="AZ49" s="760"/>
      <c r="BA49" s="760">
        <v>470.91666666666674</v>
      </c>
      <c r="BB49" s="760"/>
      <c r="BC49" s="760"/>
      <c r="BD49" s="760"/>
      <c r="BE49" s="760"/>
      <c r="BF49" s="760"/>
      <c r="BG49" s="760">
        <v>57.5</v>
      </c>
      <c r="BH49" s="760"/>
      <c r="BI49" s="760">
        <v>470.91666666666674</v>
      </c>
      <c r="BJ49" s="760"/>
      <c r="BK49" s="760"/>
      <c r="BL49" s="760"/>
      <c r="BM49" s="760"/>
      <c r="BN49" s="760"/>
      <c r="BO49" s="760">
        <v>61.49666666666667</v>
      </c>
      <c r="BP49" s="760"/>
      <c r="BQ49" s="760">
        <v>470.91666666666674</v>
      </c>
      <c r="BR49" s="760"/>
      <c r="BS49" s="760"/>
      <c r="BT49" s="760"/>
      <c r="BU49" s="760"/>
      <c r="BV49" s="760"/>
      <c r="BW49" s="760">
        <v>6.8666666666666671</v>
      </c>
      <c r="BX49" s="760"/>
      <c r="BY49" s="760">
        <v>477.78333333333336</v>
      </c>
      <c r="BZ49" s="760"/>
      <c r="CA49" s="760"/>
      <c r="CB49" s="760"/>
      <c r="CC49" s="760"/>
      <c r="CD49" s="760"/>
      <c r="CE49" s="760">
        <v>0</v>
      </c>
      <c r="CF49" s="760"/>
      <c r="CG49" s="760">
        <v>477.78333333333336</v>
      </c>
      <c r="CH49" s="760"/>
      <c r="CI49" s="760"/>
      <c r="CJ49" s="760"/>
      <c r="CK49" s="760"/>
      <c r="CL49" s="760"/>
      <c r="CM49" s="760">
        <v>0</v>
      </c>
      <c r="CN49" s="760"/>
      <c r="CO49" s="760">
        <v>477.78333333333336</v>
      </c>
      <c r="CP49" s="760"/>
      <c r="CQ49" s="760"/>
      <c r="CR49" s="760"/>
      <c r="CS49" s="760"/>
      <c r="CT49" s="760"/>
      <c r="CU49" s="760">
        <v>6.8666666666666671</v>
      </c>
      <c r="CV49" s="760"/>
      <c r="CW49" s="760">
        <v>477.78333333333336</v>
      </c>
      <c r="CX49" s="760"/>
      <c r="CY49" s="760"/>
      <c r="CZ49" s="760"/>
      <c r="DA49" s="760"/>
      <c r="DB49" s="760"/>
      <c r="DC49" s="760">
        <v>68.36333333333333</v>
      </c>
      <c r="DD49" s="760"/>
      <c r="DE49" s="760">
        <v>477.78333333333336</v>
      </c>
      <c r="DF49" s="760"/>
      <c r="DG49" s="760"/>
      <c r="DH49" s="760"/>
      <c r="DI49" s="760"/>
      <c r="DJ49" s="760"/>
      <c r="DK49" s="760">
        <v>0</v>
      </c>
      <c r="DL49" s="760"/>
      <c r="DM49" s="760">
        <v>477.78333333333336</v>
      </c>
      <c r="DN49" s="760"/>
      <c r="DO49" s="760"/>
      <c r="DP49" s="760"/>
      <c r="DQ49" s="760"/>
      <c r="DR49" s="760"/>
      <c r="DS49" s="760">
        <v>0</v>
      </c>
      <c r="DT49" s="760"/>
      <c r="DU49" s="760">
        <v>477.78333333333336</v>
      </c>
      <c r="DV49" s="760"/>
      <c r="DW49" s="760"/>
      <c r="DX49" s="760"/>
      <c r="DY49" s="760"/>
      <c r="DZ49" s="760"/>
      <c r="EA49" s="760">
        <v>0</v>
      </c>
    </row>
    <row r="50" spans="4:131" hidden="1">
      <c r="D50" s="955" t="s">
        <v>783</v>
      </c>
      <c r="K50" s="966">
        <v>0</v>
      </c>
      <c r="R50" s="966">
        <v>0</v>
      </c>
      <c r="V50" s="966">
        <v>0</v>
      </c>
      <c r="Z50" s="966">
        <v>3.3283333333333327</v>
      </c>
      <c r="AI50" s="966">
        <v>1.6666666666666643</v>
      </c>
      <c r="AQ50" s="966">
        <v>1.6666666666666661</v>
      </c>
      <c r="AY50" s="966">
        <v>24.916666666666664</v>
      </c>
      <c r="BW50" s="966">
        <v>-6.2166666666666668</v>
      </c>
      <c r="CE50" s="966">
        <v>16.8</v>
      </c>
      <c r="CM50" s="966">
        <v>49.6</v>
      </c>
      <c r="DK50" s="966">
        <v>52.08</v>
      </c>
      <c r="DS50" s="966">
        <v>0</v>
      </c>
      <c r="EA50" s="966">
        <v>0</v>
      </c>
    </row>
  </sheetData>
  <sheetProtection password="E86C" sheet="1" objects="1" scenarios="1"/>
  <mergeCells count="179">
    <mergeCell ref="A43:A46"/>
    <mergeCell ref="C43:C46"/>
    <mergeCell ref="A14:A21"/>
    <mergeCell ref="C14:C21"/>
    <mergeCell ref="A22:A27"/>
    <mergeCell ref="C22:C27"/>
    <mergeCell ref="A28:A33"/>
    <mergeCell ref="C28:C33"/>
    <mergeCell ref="A34:A38"/>
    <mergeCell ref="C34:C38"/>
    <mergeCell ref="A39:A42"/>
    <mergeCell ref="C39:C42"/>
    <mergeCell ref="B14:B21"/>
    <mergeCell ref="B22:B27"/>
    <mergeCell ref="B28:B33"/>
    <mergeCell ref="B34:B38"/>
    <mergeCell ref="B43:B46"/>
    <mergeCell ref="B39:B42"/>
    <mergeCell ref="A9:A13"/>
    <mergeCell ref="C9:C13"/>
    <mergeCell ref="T6:T7"/>
    <mergeCell ref="U6:U7"/>
    <mergeCell ref="I6:I7"/>
    <mergeCell ref="J6:K6"/>
    <mergeCell ref="M6:M7"/>
    <mergeCell ref="N6:N7"/>
    <mergeCell ref="B9:B13"/>
    <mergeCell ref="F5:F7"/>
    <mergeCell ref="G5:G7"/>
    <mergeCell ref="I5:K5"/>
    <mergeCell ref="A5:C7"/>
    <mergeCell ref="D5:D7"/>
    <mergeCell ref="E5:E7"/>
    <mergeCell ref="P6:P7"/>
    <mergeCell ref="X6:X7"/>
    <mergeCell ref="Y6:Y7"/>
    <mergeCell ref="Z6:Z7"/>
    <mergeCell ref="P5:R5"/>
    <mergeCell ref="T5:V5"/>
    <mergeCell ref="M5:N5"/>
    <mergeCell ref="V6:V7"/>
    <mergeCell ref="Q6:Q7"/>
    <mergeCell ref="R6:R7"/>
    <mergeCell ref="B1:N1"/>
    <mergeCell ref="B2:N2"/>
    <mergeCell ref="B3:N3"/>
    <mergeCell ref="AN5:AT5"/>
    <mergeCell ref="AN6:AN7"/>
    <mergeCell ref="AO6:AO7"/>
    <mergeCell ref="AP6:AP7"/>
    <mergeCell ref="AQ6:AQ7"/>
    <mergeCell ref="AR6:AR7"/>
    <mergeCell ref="AS6:AS7"/>
    <mergeCell ref="AT6:AT7"/>
    <mergeCell ref="AK6:AK7"/>
    <mergeCell ref="AL6:AL7"/>
    <mergeCell ref="AI6:AI7"/>
    <mergeCell ref="AB5:AD5"/>
    <mergeCell ref="AF5:AL5"/>
    <mergeCell ref="AB6:AB7"/>
    <mergeCell ref="AC6:AC7"/>
    <mergeCell ref="AD6:AD7"/>
    <mergeCell ref="AF6:AF7"/>
    <mergeCell ref="AG6:AG7"/>
    <mergeCell ref="AH6:AH7"/>
    <mergeCell ref="AJ6:AJ7"/>
    <mergeCell ref="X5:Z5"/>
    <mergeCell ref="BD5:BJ5"/>
    <mergeCell ref="BD6:BD7"/>
    <mergeCell ref="BE6:BE7"/>
    <mergeCell ref="BF6:BF7"/>
    <mergeCell ref="BG6:BG7"/>
    <mergeCell ref="BH6:BH7"/>
    <mergeCell ref="BI6:BI7"/>
    <mergeCell ref="BJ6:BJ7"/>
    <mergeCell ref="AV5:BB5"/>
    <mergeCell ref="AV6:AV7"/>
    <mergeCell ref="AW6:AW7"/>
    <mergeCell ref="AX6:AX7"/>
    <mergeCell ref="AY6:AY7"/>
    <mergeCell ref="AZ6:AZ7"/>
    <mergeCell ref="BA6:BA7"/>
    <mergeCell ref="BB6:BB7"/>
    <mergeCell ref="BT5:BZ5"/>
    <mergeCell ref="BT6:BT7"/>
    <mergeCell ref="BU6:BU7"/>
    <mergeCell ref="BV6:BV7"/>
    <mergeCell ref="BW6:BW7"/>
    <mergeCell ref="BX6:BX7"/>
    <mergeCell ref="BY6:BY7"/>
    <mergeCell ref="BZ6:BZ7"/>
    <mergeCell ref="BL5:BR5"/>
    <mergeCell ref="BL6:BL7"/>
    <mergeCell ref="BM6:BM7"/>
    <mergeCell ref="BN6:BN7"/>
    <mergeCell ref="BO6:BO7"/>
    <mergeCell ref="BP6:BP7"/>
    <mergeCell ref="BQ6:BQ7"/>
    <mergeCell ref="BR6:BR7"/>
    <mergeCell ref="CJ5:CP5"/>
    <mergeCell ref="CJ6:CJ7"/>
    <mergeCell ref="CK6:CK7"/>
    <mergeCell ref="CL6:CL7"/>
    <mergeCell ref="CM6:CM7"/>
    <mergeCell ref="CN6:CN7"/>
    <mergeCell ref="CO6:CO7"/>
    <mergeCell ref="CP6:CP7"/>
    <mergeCell ref="CB5:CH5"/>
    <mergeCell ref="CB6:CB7"/>
    <mergeCell ref="CC6:CC7"/>
    <mergeCell ref="CD6:CD7"/>
    <mergeCell ref="CE6:CE7"/>
    <mergeCell ref="CF6:CF7"/>
    <mergeCell ref="CG6:CG7"/>
    <mergeCell ref="CH6:CH7"/>
    <mergeCell ref="CZ5:DF5"/>
    <mergeCell ref="CZ6:CZ7"/>
    <mergeCell ref="DA6:DA7"/>
    <mergeCell ref="DB6:DB7"/>
    <mergeCell ref="DC6:DC7"/>
    <mergeCell ref="DD6:DD7"/>
    <mergeCell ref="DE6:DE7"/>
    <mergeCell ref="DF6:DF7"/>
    <mergeCell ref="CR5:CX5"/>
    <mergeCell ref="CR6:CR7"/>
    <mergeCell ref="CS6:CS7"/>
    <mergeCell ref="CT6:CT7"/>
    <mergeCell ref="CU6:CU7"/>
    <mergeCell ref="CV6:CV7"/>
    <mergeCell ref="CW6:CW7"/>
    <mergeCell ref="CX6:CX7"/>
    <mergeCell ref="DP5:DV5"/>
    <mergeCell ref="DP6:DP7"/>
    <mergeCell ref="DQ6:DQ7"/>
    <mergeCell ref="DR6:DR7"/>
    <mergeCell ref="DS6:DS7"/>
    <mergeCell ref="DT6:DT7"/>
    <mergeCell ref="DU6:DU7"/>
    <mergeCell ref="DV6:DV7"/>
    <mergeCell ref="DH5:DN5"/>
    <mergeCell ref="DH6:DH7"/>
    <mergeCell ref="DI6:DI7"/>
    <mergeCell ref="DJ6:DJ7"/>
    <mergeCell ref="DK6:DK7"/>
    <mergeCell ref="DL6:DL7"/>
    <mergeCell ref="DM6:DM7"/>
    <mergeCell ref="DN6:DN7"/>
    <mergeCell ref="EF5:EL5"/>
    <mergeCell ref="EF6:EF7"/>
    <mergeCell ref="EG6:EG7"/>
    <mergeCell ref="EH6:EH7"/>
    <mergeCell ref="EI6:EI7"/>
    <mergeCell ref="EJ6:EJ7"/>
    <mergeCell ref="EK6:EK7"/>
    <mergeCell ref="EL6:EL7"/>
    <mergeCell ref="DX5:ED5"/>
    <mergeCell ref="DX6:DX7"/>
    <mergeCell ref="DY6:DY7"/>
    <mergeCell ref="DZ6:DZ7"/>
    <mergeCell ref="EA6:EA7"/>
    <mergeCell ref="EB6:EB7"/>
    <mergeCell ref="EC6:EC7"/>
    <mergeCell ref="ED6:ED7"/>
    <mergeCell ref="EV5:FB5"/>
    <mergeCell ref="EV6:EV7"/>
    <mergeCell ref="EW6:EW7"/>
    <mergeCell ref="EX6:EX7"/>
    <mergeCell ref="EY6:EY7"/>
    <mergeCell ref="EZ6:EZ7"/>
    <mergeCell ref="FA6:FA7"/>
    <mergeCell ref="FB6:FB7"/>
    <mergeCell ref="EN5:ET5"/>
    <mergeCell ref="EN6:EN7"/>
    <mergeCell ref="EO6:EO7"/>
    <mergeCell ref="EP6:EP7"/>
    <mergeCell ref="EQ6:EQ7"/>
    <mergeCell ref="ER6:ER7"/>
    <mergeCell ref="ES6:ES7"/>
    <mergeCell ref="ET6:ET7"/>
  </mergeCells>
  <printOptions headings="1"/>
  <pageMargins left="0" right="0" top="0.75" bottom="0" header="0.55000000000000004" footer="0.55000000000000004"/>
  <pageSetup scale="65" orientation="landscape" r:id="rId1"/>
  <headerFooter>
    <oddHeader>&amp;LCFAVC's Output 3 Physical Progress 2021&amp;RAnnex 1.6</oddHeader>
    <oddFooter>&amp;LAESA &amp; SBK</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00CC"/>
  </sheetPr>
  <dimension ref="A1:AK262"/>
  <sheetViews>
    <sheetView view="pageBreakPreview" zoomScale="70" zoomScaleNormal="70" zoomScaleSheetLayoutView="70" workbookViewId="0">
      <pane xSplit="5" ySplit="9" topLeftCell="M43" activePane="bottomRight" state="frozen"/>
      <selection pane="topRight" activeCell="D1" sqref="D1"/>
      <selection pane="bottomLeft" activeCell="A10" sqref="A10"/>
      <selection pane="bottomRight" activeCell="M48" sqref="M48:M49"/>
    </sheetView>
  </sheetViews>
  <sheetFormatPr defaultColWidth="8.85546875" defaultRowHeight="12.75"/>
  <cols>
    <col min="1" max="1" width="5.5703125" style="382" customWidth="1"/>
    <col min="2" max="2" width="9.42578125" style="382" customWidth="1"/>
    <col min="3" max="3" width="6.85546875" style="382" customWidth="1"/>
    <col min="4" max="4" width="6.28515625" style="382" hidden="1" customWidth="1"/>
    <col min="5" max="5" width="36.5703125" style="382" customWidth="1"/>
    <col min="6" max="6" width="17.42578125" style="382" hidden="1" customWidth="1"/>
    <col min="7" max="7" width="13" style="382" hidden="1" customWidth="1"/>
    <col min="8" max="8" width="12" style="405" hidden="1" customWidth="1"/>
    <col min="9" max="9" width="11.42578125" style="382" hidden="1" customWidth="1"/>
    <col min="10" max="10" width="7.5703125" style="382" hidden="1" customWidth="1"/>
    <col min="11" max="11" width="11.140625" style="382" hidden="1" customWidth="1"/>
    <col min="12" max="12" width="11.42578125" style="382" customWidth="1"/>
    <col min="13" max="13" width="7.5703125" style="382" customWidth="1"/>
    <col min="14" max="14" width="9.7109375" style="382" customWidth="1"/>
    <col min="15" max="16" width="10.140625" style="382" hidden="1" customWidth="1"/>
    <col min="17" max="17" width="8.140625" style="382" customWidth="1"/>
    <col min="18" max="18" width="10.140625" style="382" hidden="1" customWidth="1"/>
    <col min="19" max="21" width="8.7109375" style="382" hidden="1" customWidth="1"/>
    <col min="22" max="22" width="10.28515625" style="382" customWidth="1"/>
    <col min="23" max="24" width="10.7109375" style="382" hidden="1" customWidth="1"/>
    <col min="25" max="25" width="11.7109375" style="382" hidden="1" customWidth="1"/>
    <col min="26" max="26" width="8.7109375" style="382" hidden="1" customWidth="1"/>
    <col min="27" max="27" width="9.7109375" style="382" hidden="1" customWidth="1"/>
    <col min="28" max="28" width="9.140625" style="382" customWidth="1"/>
    <col min="29" max="29" width="76.140625" style="382" customWidth="1"/>
    <col min="30" max="31" width="10.7109375" style="382" hidden="1" customWidth="1"/>
    <col min="32" max="32" width="11.7109375" style="382" hidden="1" customWidth="1"/>
    <col min="33" max="33" width="13.7109375" style="382" hidden="1" customWidth="1"/>
    <col min="34" max="34" width="1" style="382" customWidth="1"/>
    <col min="35" max="37" width="13.7109375" style="382" hidden="1" customWidth="1"/>
    <col min="38" max="16384" width="8.85546875" style="382"/>
  </cols>
  <sheetData>
    <row r="1" spans="1:37" ht="15" customHeight="1">
      <c r="A1" s="494"/>
      <c r="B1" s="494"/>
      <c r="C1" s="494"/>
      <c r="D1" s="494"/>
      <c r="E1" s="494"/>
      <c r="F1" s="494"/>
      <c r="G1" s="494"/>
      <c r="H1" s="495"/>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row>
    <row r="2" spans="1:37" ht="15" customHeight="1">
      <c r="A2" s="494"/>
      <c r="B2" s="494"/>
      <c r="C2" s="494"/>
      <c r="D2" s="494"/>
      <c r="E2" s="494"/>
      <c r="F2" s="494"/>
      <c r="G2" s="494"/>
      <c r="H2" s="495"/>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row>
    <row r="3" spans="1:37" ht="15" customHeight="1">
      <c r="A3" s="494"/>
      <c r="B3" s="494"/>
      <c r="C3" s="494"/>
      <c r="D3" s="494"/>
      <c r="E3" s="494"/>
      <c r="F3" s="494"/>
      <c r="G3" s="494"/>
      <c r="H3" s="495"/>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row>
    <row r="4" spans="1:37" ht="15" customHeight="1">
      <c r="A4" s="494"/>
      <c r="B4" s="494"/>
      <c r="C4" s="494"/>
      <c r="D4" s="494"/>
      <c r="E4" s="494"/>
      <c r="F4" s="494"/>
      <c r="G4" s="494"/>
      <c r="H4" s="495"/>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row>
    <row r="5" spans="1:37" ht="22.9" customHeight="1">
      <c r="A5" s="494"/>
      <c r="B5" s="1564" t="s">
        <v>817</v>
      </c>
      <c r="C5" s="1564"/>
      <c r="D5" s="1564"/>
      <c r="E5" s="1564"/>
      <c r="F5" s="1564"/>
      <c r="G5" s="1564"/>
      <c r="H5" s="1564"/>
      <c r="I5" s="1564"/>
      <c r="J5" s="1564"/>
      <c r="K5" s="1564"/>
      <c r="L5" s="1564"/>
      <c r="M5" s="1564"/>
      <c r="N5" s="1564"/>
      <c r="O5" s="1564"/>
      <c r="P5" s="1564"/>
      <c r="Q5" s="1564"/>
      <c r="R5" s="1564"/>
      <c r="S5" s="1564"/>
      <c r="T5" s="1564"/>
      <c r="U5" s="1564"/>
      <c r="V5" s="1564"/>
      <c r="W5" s="1564"/>
      <c r="X5" s="1564"/>
      <c r="Y5" s="1564"/>
      <c r="Z5" s="1564"/>
      <c r="AA5" s="1564"/>
      <c r="AB5" s="1564"/>
      <c r="AC5" s="621"/>
      <c r="AD5" s="621"/>
      <c r="AE5" s="621"/>
      <c r="AF5" s="621"/>
      <c r="AG5" s="621"/>
    </row>
    <row r="6" spans="1:37" ht="2.4500000000000002" customHeight="1" thickBot="1">
      <c r="B6" s="383"/>
      <c r="C6" s="383"/>
      <c r="D6" s="383"/>
      <c r="E6" s="383"/>
      <c r="F6" s="383"/>
      <c r="G6" s="383"/>
      <c r="H6" s="383"/>
      <c r="I6" s="383"/>
      <c r="J6" s="383"/>
      <c r="K6" s="383"/>
      <c r="L6" s="383"/>
      <c r="M6" s="383"/>
      <c r="N6" s="384"/>
      <c r="O6" s="384"/>
      <c r="P6" s="384"/>
      <c r="Q6" s="384"/>
      <c r="R6" s="384"/>
      <c r="S6" s="384"/>
      <c r="T6" s="384"/>
      <c r="U6" s="384"/>
      <c r="V6" s="384"/>
      <c r="W6" s="384"/>
      <c r="X6" s="384"/>
      <c r="Y6" s="384"/>
      <c r="Z6" s="383"/>
      <c r="AA6" s="383"/>
      <c r="AB6" s="383"/>
      <c r="AC6" s="383"/>
      <c r="AD6" s="384"/>
      <c r="AE6" s="383"/>
      <c r="AF6" s="383"/>
      <c r="AG6" s="383"/>
    </row>
    <row r="7" spans="1:37" ht="14.45" customHeight="1">
      <c r="A7" s="1553" t="s">
        <v>671</v>
      </c>
      <c r="B7" s="1553" t="s">
        <v>458</v>
      </c>
      <c r="C7" s="1553" t="s">
        <v>670</v>
      </c>
      <c r="D7" s="1553" t="s">
        <v>375</v>
      </c>
      <c r="E7" s="1556" t="s">
        <v>516</v>
      </c>
      <c r="F7" s="1556" t="s">
        <v>347</v>
      </c>
      <c r="G7" s="675"/>
      <c r="H7" s="1556" t="s">
        <v>457</v>
      </c>
      <c r="I7" s="1556" t="s">
        <v>456</v>
      </c>
      <c r="J7" s="1556" t="s">
        <v>426</v>
      </c>
      <c r="K7" s="1556" t="s">
        <v>371</v>
      </c>
      <c r="L7" s="1837" t="s">
        <v>348</v>
      </c>
      <c r="M7" s="1838" t="s">
        <v>374</v>
      </c>
      <c r="N7" s="1840" t="s">
        <v>277</v>
      </c>
      <c r="O7" s="1841"/>
      <c r="P7" s="1841"/>
      <c r="Q7" s="1841"/>
      <c r="R7" s="1841"/>
      <c r="S7" s="1841"/>
      <c r="T7" s="1841"/>
      <c r="U7" s="1842"/>
      <c r="V7" s="1839" t="s">
        <v>874</v>
      </c>
      <c r="W7" s="1572" t="s">
        <v>658</v>
      </c>
      <c r="X7" s="1573"/>
      <c r="Y7" s="1574"/>
      <c r="Z7" s="1575" t="s">
        <v>689</v>
      </c>
      <c r="AA7" s="1567"/>
      <c r="AB7" s="1567"/>
      <c r="AC7" s="1576"/>
      <c r="AD7" s="1567" t="s">
        <v>695</v>
      </c>
      <c r="AE7" s="1567"/>
      <c r="AF7" s="1567"/>
      <c r="AG7" s="1567"/>
      <c r="AI7" s="1547" t="s">
        <v>690</v>
      </c>
      <c r="AJ7" s="1548"/>
      <c r="AK7" s="1549"/>
    </row>
    <row r="8" spans="1:37" ht="66" customHeight="1">
      <c r="A8" s="1554"/>
      <c r="B8" s="1554"/>
      <c r="C8" s="1554"/>
      <c r="D8" s="1554"/>
      <c r="E8" s="1557"/>
      <c r="F8" s="1557"/>
      <c r="G8" s="676" t="s">
        <v>518</v>
      </c>
      <c r="H8" s="1557"/>
      <c r="I8" s="1557"/>
      <c r="J8" s="1557"/>
      <c r="K8" s="1557"/>
      <c r="L8" s="1837"/>
      <c r="M8" s="1838"/>
      <c r="N8" s="1843"/>
      <c r="O8" s="1844"/>
      <c r="P8" s="1844"/>
      <c r="Q8" s="1844"/>
      <c r="R8" s="1844"/>
      <c r="S8" s="1844"/>
      <c r="T8" s="1844"/>
      <c r="U8" s="1845"/>
      <c r="V8" s="1839"/>
      <c r="W8" s="1570" t="s">
        <v>349</v>
      </c>
      <c r="X8" s="1565" t="s">
        <v>684</v>
      </c>
      <c r="Y8" s="1565" t="s">
        <v>704</v>
      </c>
      <c r="Z8" s="1570" t="s">
        <v>349</v>
      </c>
      <c r="AA8" s="1565" t="s">
        <v>684</v>
      </c>
      <c r="AB8" s="1565" t="s">
        <v>704</v>
      </c>
      <c r="AC8" s="1566" t="s">
        <v>705</v>
      </c>
      <c r="AD8" s="1560" t="s">
        <v>349</v>
      </c>
      <c r="AE8" s="1565" t="s">
        <v>684</v>
      </c>
      <c r="AF8" s="1565" t="s">
        <v>704</v>
      </c>
      <c r="AG8" s="1566" t="s">
        <v>705</v>
      </c>
      <c r="AI8" s="1550"/>
      <c r="AJ8" s="1551"/>
      <c r="AK8" s="1552"/>
    </row>
    <row r="9" spans="1:37" ht="38.25">
      <c r="A9" s="1555"/>
      <c r="B9" s="1555"/>
      <c r="C9" s="1555"/>
      <c r="D9" s="1555"/>
      <c r="E9" s="1558"/>
      <c r="F9" s="1558"/>
      <c r="G9" s="677"/>
      <c r="H9" s="1558"/>
      <c r="I9" s="1558"/>
      <c r="J9" s="1558"/>
      <c r="K9" s="1558"/>
      <c r="L9" s="1837"/>
      <c r="M9" s="1838"/>
      <c r="N9" s="680" t="s">
        <v>152</v>
      </c>
      <c r="O9" s="492">
        <v>2019</v>
      </c>
      <c r="P9" s="492">
        <v>2020</v>
      </c>
      <c r="Q9" s="492">
        <v>2021</v>
      </c>
      <c r="R9" s="492">
        <v>2022</v>
      </c>
      <c r="S9" s="492">
        <v>2023</v>
      </c>
      <c r="T9" s="492">
        <v>2024</v>
      </c>
      <c r="U9" s="493">
        <v>2025</v>
      </c>
      <c r="V9" s="1839"/>
      <c r="W9" s="1570"/>
      <c r="X9" s="1565"/>
      <c r="Y9" s="1565"/>
      <c r="Z9" s="1570"/>
      <c r="AA9" s="1565"/>
      <c r="AB9" s="1565"/>
      <c r="AC9" s="1566"/>
      <c r="AD9" s="1560"/>
      <c r="AE9" s="1565"/>
      <c r="AF9" s="1565"/>
      <c r="AG9" s="1566"/>
      <c r="AI9" s="678" t="s">
        <v>349</v>
      </c>
      <c r="AJ9" s="674" t="s">
        <v>684</v>
      </c>
      <c r="AK9" s="679" t="s">
        <v>703</v>
      </c>
    </row>
    <row r="10" spans="1:37" s="572" customFormat="1" ht="35.1" customHeight="1">
      <c r="A10" s="559"/>
      <c r="B10" s="576" t="s">
        <v>383</v>
      </c>
      <c r="C10" s="576"/>
      <c r="D10" s="576"/>
      <c r="E10" s="518" t="s">
        <v>608</v>
      </c>
      <c r="F10" s="570"/>
      <c r="G10" s="577"/>
      <c r="H10" s="578"/>
      <c r="I10" s="577"/>
      <c r="J10" s="579"/>
      <c r="K10" s="579"/>
      <c r="L10" s="580"/>
      <c r="M10" s="581"/>
      <c r="N10" s="581"/>
      <c r="O10" s="581"/>
      <c r="P10" s="581"/>
      <c r="Q10" s="581"/>
      <c r="R10" s="581"/>
      <c r="S10" s="581"/>
      <c r="T10" s="581"/>
      <c r="U10" s="582"/>
      <c r="V10" s="582">
        <f>V21+V40+V56</f>
        <v>100</v>
      </c>
      <c r="W10" s="609"/>
      <c r="X10" s="610">
        <f>X21+X40+X56</f>
        <v>2.0031597222222222</v>
      </c>
      <c r="Y10" s="610">
        <f>Y21+Y40+Y56</f>
        <v>11.8291</v>
      </c>
      <c r="Z10" s="609"/>
      <c r="AA10" s="581">
        <f>AA21+AA40+AA56</f>
        <v>14.996886766290725</v>
      </c>
      <c r="AB10" s="581">
        <f>AB21+AB40+AB56</f>
        <v>25.442777443801834</v>
      </c>
      <c r="AC10" s="570"/>
      <c r="AD10" s="625"/>
      <c r="AE10" s="581">
        <f>AE21+AE40+AE56</f>
        <v>2.9077422416666669</v>
      </c>
      <c r="AF10" s="581">
        <f>AF21+AF40+AF56</f>
        <v>7.2822799638888895</v>
      </c>
      <c r="AG10" s="570"/>
      <c r="AI10" s="571"/>
      <c r="AJ10" s="581">
        <f>AJ21+AJ40+AJ56</f>
        <v>19.907788730179615</v>
      </c>
      <c r="AK10" s="610">
        <f>AK21+AK40+AK56</f>
        <v>44.554157407690724</v>
      </c>
    </row>
    <row r="11" spans="1:37" ht="77.25" customHeight="1">
      <c r="A11" s="496">
        <v>1</v>
      </c>
      <c r="B11" s="497" t="s">
        <v>384</v>
      </c>
      <c r="C11" s="497" t="s">
        <v>410</v>
      </c>
      <c r="D11" s="497"/>
      <c r="E11" s="528" t="s">
        <v>610</v>
      </c>
      <c r="F11" s="668"/>
      <c r="G11" s="504"/>
      <c r="H11" s="499" t="s">
        <v>427</v>
      </c>
      <c r="I11" s="499"/>
      <c r="J11" s="390" t="s">
        <v>366</v>
      </c>
      <c r="K11" s="390" t="s">
        <v>229</v>
      </c>
      <c r="L11" s="416" t="s">
        <v>362</v>
      </c>
      <c r="M11" s="500"/>
      <c r="N11" s="632">
        <v>0.15</v>
      </c>
      <c r="O11" s="631"/>
      <c r="P11" s="631"/>
      <c r="Q11" s="631"/>
      <c r="R11" s="631"/>
      <c r="S11" s="631"/>
      <c r="T11" s="631"/>
      <c r="U11" s="502"/>
      <c r="V11" s="502"/>
      <c r="W11" s="603"/>
      <c r="X11" s="500"/>
      <c r="Y11" s="608"/>
      <c r="Z11" s="654"/>
      <c r="AA11" s="657" t="s">
        <v>677</v>
      </c>
      <c r="AB11" s="407"/>
      <c r="AC11" s="397"/>
      <c r="AD11" s="654">
        <f>P11/2</f>
        <v>0</v>
      </c>
      <c r="AE11" s="657" t="s">
        <v>677</v>
      </c>
      <c r="AF11" s="400" t="e">
        <f t="shared" ref="AF11:AF144" si="0">AE11/AD11</f>
        <v>#VALUE!</v>
      </c>
      <c r="AG11" s="397"/>
      <c r="AI11" s="611"/>
      <c r="AJ11" s="612"/>
      <c r="AK11" s="688"/>
    </row>
    <row r="12" spans="1:37" ht="35.1" customHeight="1">
      <c r="A12" s="496"/>
      <c r="B12" s="497" t="s">
        <v>503</v>
      </c>
      <c r="C12" s="497"/>
      <c r="D12" s="497"/>
      <c r="E12" s="529" t="s">
        <v>422</v>
      </c>
      <c r="F12" s="667"/>
      <c r="G12" s="504"/>
      <c r="H12" s="499"/>
      <c r="I12" s="504"/>
      <c r="J12" s="390" t="s">
        <v>366</v>
      </c>
      <c r="K12" s="390" t="s">
        <v>229</v>
      </c>
      <c r="L12" s="416" t="s">
        <v>432</v>
      </c>
      <c r="M12" s="500">
        <v>2.7</v>
      </c>
      <c r="N12" s="500">
        <f>M12+(M12*$N$11)</f>
        <v>3.1050000000000004</v>
      </c>
      <c r="O12" s="631">
        <v>0</v>
      </c>
      <c r="P12" s="631">
        <f>M12</f>
        <v>2.7</v>
      </c>
      <c r="Q12" s="631">
        <f>M12+(N12-M12)/4</f>
        <v>2.8012500000000005</v>
      </c>
      <c r="R12" s="631">
        <f>Q12+(N12-M12)/4</f>
        <v>2.9025000000000007</v>
      </c>
      <c r="S12" s="631">
        <f>R12+(N12-M12)/4</f>
        <v>3.003750000000001</v>
      </c>
      <c r="T12" s="631">
        <f>S12+(N12-M12)/4</f>
        <v>3.1050000000000013</v>
      </c>
      <c r="U12" s="502"/>
      <c r="V12" s="502"/>
      <c r="W12" s="603"/>
      <c r="X12" s="500"/>
      <c r="Y12" s="608"/>
      <c r="Z12" s="654"/>
      <c r="AA12" s="657"/>
      <c r="AB12" s="407"/>
      <c r="AC12" s="397"/>
      <c r="AD12" s="654">
        <f t="shared" ref="AD12:AD20" si="1">Q12/2</f>
        <v>1.4006250000000002</v>
      </c>
      <c r="AE12" s="617"/>
      <c r="AF12" s="400"/>
      <c r="AG12" s="397"/>
      <c r="AI12" s="611"/>
      <c r="AJ12" s="612"/>
      <c r="AK12" s="688"/>
    </row>
    <row r="13" spans="1:37" ht="35.1" customHeight="1">
      <c r="A13" s="496"/>
      <c r="B13" s="497" t="s">
        <v>504</v>
      </c>
      <c r="C13" s="497"/>
      <c r="D13" s="497"/>
      <c r="E13" s="529" t="s">
        <v>423</v>
      </c>
      <c r="F13" s="667"/>
      <c r="G13" s="504"/>
      <c r="H13" s="499"/>
      <c r="I13" s="504"/>
      <c r="J13" s="390" t="s">
        <v>366</v>
      </c>
      <c r="K13" s="390" t="s">
        <v>229</v>
      </c>
      <c r="L13" s="416" t="s">
        <v>432</v>
      </c>
      <c r="M13" s="500">
        <v>4</v>
      </c>
      <c r="N13" s="500">
        <f>M13+(M13*$N$11)</f>
        <v>4.5999999999999996</v>
      </c>
      <c r="O13" s="631">
        <v>0</v>
      </c>
      <c r="P13" s="631">
        <f>M13</f>
        <v>4</v>
      </c>
      <c r="Q13" s="631">
        <f>M13+(N13-M13)/4</f>
        <v>4.1500000000000004</v>
      </c>
      <c r="R13" s="631">
        <f>Q13+(N13-M13)/4</f>
        <v>4.3000000000000007</v>
      </c>
      <c r="S13" s="631">
        <f>R13+(N13-M13)/4</f>
        <v>4.4500000000000011</v>
      </c>
      <c r="T13" s="631">
        <f>S13+(N13-M13)/4</f>
        <v>4.6000000000000014</v>
      </c>
      <c r="U13" s="502"/>
      <c r="V13" s="502"/>
      <c r="W13" s="603"/>
      <c r="X13" s="500"/>
      <c r="Y13" s="608"/>
      <c r="Z13" s="654"/>
      <c r="AA13" s="617"/>
      <c r="AB13" s="407"/>
      <c r="AC13" s="397"/>
      <c r="AD13" s="654">
        <f t="shared" si="1"/>
        <v>2.0750000000000002</v>
      </c>
      <c r="AE13" s="617"/>
      <c r="AF13" s="400"/>
      <c r="AG13" s="397"/>
      <c r="AI13" s="611"/>
      <c r="AJ13" s="612"/>
      <c r="AK13" s="688"/>
    </row>
    <row r="14" spans="1:37" ht="35.1" customHeight="1">
      <c r="A14" s="496"/>
      <c r="B14" s="497" t="s">
        <v>505</v>
      </c>
      <c r="C14" s="497"/>
      <c r="D14" s="497"/>
      <c r="E14" s="529" t="s">
        <v>424</v>
      </c>
      <c r="F14" s="667"/>
      <c r="G14" s="504"/>
      <c r="H14" s="499"/>
      <c r="I14" s="504"/>
      <c r="J14" s="390" t="s">
        <v>366</v>
      </c>
      <c r="K14" s="390" t="s">
        <v>229</v>
      </c>
      <c r="L14" s="416" t="s">
        <v>432</v>
      </c>
      <c r="M14" s="500">
        <v>20</v>
      </c>
      <c r="N14" s="500">
        <f>M14+(M14*$N$11)</f>
        <v>23</v>
      </c>
      <c r="O14" s="631">
        <v>0</v>
      </c>
      <c r="P14" s="631">
        <f>M14</f>
        <v>20</v>
      </c>
      <c r="Q14" s="631">
        <f>M14+(N14-M14)/4</f>
        <v>20.75</v>
      </c>
      <c r="R14" s="631">
        <f>Q14+(N14-M14)/4</f>
        <v>21.5</v>
      </c>
      <c r="S14" s="631">
        <f>R14+(N14-M14)/4</f>
        <v>22.25</v>
      </c>
      <c r="T14" s="631">
        <f>S14+(N14-M14)/4</f>
        <v>23</v>
      </c>
      <c r="U14" s="502"/>
      <c r="V14" s="502"/>
      <c r="W14" s="603"/>
      <c r="X14" s="500"/>
      <c r="Y14" s="608"/>
      <c r="Z14" s="654"/>
      <c r="AA14" s="617"/>
      <c r="AB14" s="407"/>
      <c r="AC14" s="397"/>
      <c r="AD14" s="654">
        <f t="shared" si="1"/>
        <v>10.375</v>
      </c>
      <c r="AE14" s="617"/>
      <c r="AF14" s="400"/>
      <c r="AG14" s="397"/>
      <c r="AI14" s="611"/>
      <c r="AJ14" s="612"/>
      <c r="AK14" s="688"/>
    </row>
    <row r="15" spans="1:37" ht="35.1" customHeight="1">
      <c r="A15" s="496"/>
      <c r="B15" s="497" t="s">
        <v>505</v>
      </c>
      <c r="C15" s="497"/>
      <c r="D15" s="497"/>
      <c r="E15" s="529" t="s">
        <v>425</v>
      </c>
      <c r="F15" s="667"/>
      <c r="G15" s="504"/>
      <c r="H15" s="499"/>
      <c r="I15" s="504"/>
      <c r="J15" s="390" t="s">
        <v>366</v>
      </c>
      <c r="K15" s="390" t="s">
        <v>229</v>
      </c>
      <c r="L15" s="416" t="s">
        <v>432</v>
      </c>
      <c r="M15" s="500">
        <v>15</v>
      </c>
      <c r="N15" s="500">
        <f>M15+(M15*$N$11)</f>
        <v>17.25</v>
      </c>
      <c r="O15" s="631">
        <v>0</v>
      </c>
      <c r="P15" s="631">
        <f>M15</f>
        <v>15</v>
      </c>
      <c r="Q15" s="631">
        <f>M15+(N15-M15)/4</f>
        <v>15.5625</v>
      </c>
      <c r="R15" s="631">
        <f>Q15+(N15-M15)/4</f>
        <v>16.125</v>
      </c>
      <c r="S15" s="631">
        <f>R15+(N15-M15)/4</f>
        <v>16.6875</v>
      </c>
      <c r="T15" s="631">
        <f>S15+(N15-M15)/4</f>
        <v>17.25</v>
      </c>
      <c r="U15" s="502"/>
      <c r="V15" s="502"/>
      <c r="W15" s="603"/>
      <c r="X15" s="500"/>
      <c r="Y15" s="608"/>
      <c r="Z15" s="654"/>
      <c r="AA15" s="617"/>
      <c r="AB15" s="407"/>
      <c r="AC15" s="397"/>
      <c r="AD15" s="654">
        <f t="shared" si="1"/>
        <v>7.78125</v>
      </c>
      <c r="AE15" s="617"/>
      <c r="AF15" s="400"/>
      <c r="AG15" s="397"/>
      <c r="AI15" s="611"/>
      <c r="AJ15" s="612"/>
      <c r="AK15" s="688"/>
    </row>
    <row r="16" spans="1:37" ht="81.75" customHeight="1">
      <c r="A16" s="496">
        <v>2</v>
      </c>
      <c r="B16" s="497" t="s">
        <v>385</v>
      </c>
      <c r="C16" s="497" t="s">
        <v>411</v>
      </c>
      <c r="D16" s="497"/>
      <c r="E16" s="531" t="s">
        <v>381</v>
      </c>
      <c r="F16" s="667" t="s">
        <v>696</v>
      </c>
      <c r="G16" s="504"/>
      <c r="H16" s="499" t="s">
        <v>428</v>
      </c>
      <c r="I16" s="504"/>
      <c r="J16" s="390"/>
      <c r="K16" s="390"/>
      <c r="L16" s="416" t="s">
        <v>352</v>
      </c>
      <c r="M16" s="505">
        <v>0</v>
      </c>
      <c r="N16" s="501">
        <v>240000</v>
      </c>
      <c r="O16" s="505">
        <v>0</v>
      </c>
      <c r="P16" s="505">
        <v>0</v>
      </c>
      <c r="Q16" s="505">
        <v>0</v>
      </c>
      <c r="R16" s="505">
        <v>80000</v>
      </c>
      <c r="S16" s="505">
        <v>80000</v>
      </c>
      <c r="T16" s="505">
        <v>80000</v>
      </c>
      <c r="U16" s="502"/>
      <c r="V16" s="502"/>
      <c r="W16" s="603"/>
      <c r="X16" s="500"/>
      <c r="Y16" s="608"/>
      <c r="Z16" s="654"/>
      <c r="AA16" s="657" t="s">
        <v>677</v>
      </c>
      <c r="AB16" s="407"/>
      <c r="AC16" s="397"/>
      <c r="AD16" s="654">
        <f t="shared" si="1"/>
        <v>0</v>
      </c>
      <c r="AE16" s="657" t="s">
        <v>677</v>
      </c>
      <c r="AF16" s="400" t="e">
        <f t="shared" si="0"/>
        <v>#VALUE!</v>
      </c>
      <c r="AG16" s="397"/>
      <c r="AI16" s="611"/>
      <c r="AJ16" s="612"/>
      <c r="AK16" s="688"/>
    </row>
    <row r="17" spans="1:37" ht="118.5" customHeight="1">
      <c r="A17" s="496">
        <v>3</v>
      </c>
      <c r="B17" s="497" t="s">
        <v>386</v>
      </c>
      <c r="C17" s="497" t="s">
        <v>412</v>
      </c>
      <c r="D17" s="497"/>
      <c r="E17" s="528" t="s">
        <v>382</v>
      </c>
      <c r="F17" s="668"/>
      <c r="G17" s="504"/>
      <c r="H17" s="499" t="s">
        <v>429</v>
      </c>
      <c r="I17" s="504"/>
      <c r="J17" s="390" t="s">
        <v>366</v>
      </c>
      <c r="K17" s="390" t="s">
        <v>229</v>
      </c>
      <c r="L17" s="416" t="s">
        <v>362</v>
      </c>
      <c r="M17" s="505">
        <v>0</v>
      </c>
      <c r="N17" s="501">
        <v>50</v>
      </c>
      <c r="O17" s="505">
        <v>0</v>
      </c>
      <c r="P17" s="505">
        <v>0</v>
      </c>
      <c r="Q17" s="505">
        <v>0</v>
      </c>
      <c r="R17" s="505">
        <v>5</v>
      </c>
      <c r="S17" s="505">
        <v>20</v>
      </c>
      <c r="T17" s="505">
        <v>25</v>
      </c>
      <c r="U17" s="502"/>
      <c r="V17" s="502"/>
      <c r="W17" s="603"/>
      <c r="X17" s="500"/>
      <c r="Y17" s="608"/>
      <c r="Z17" s="654"/>
      <c r="AA17" s="657" t="s">
        <v>677</v>
      </c>
      <c r="AB17" s="407"/>
      <c r="AC17" s="397"/>
      <c r="AD17" s="654">
        <f t="shared" si="1"/>
        <v>0</v>
      </c>
      <c r="AE17" s="657" t="s">
        <v>677</v>
      </c>
      <c r="AF17" s="400" t="e">
        <f t="shared" si="0"/>
        <v>#VALUE!</v>
      </c>
      <c r="AG17" s="397"/>
      <c r="AI17" s="611"/>
      <c r="AJ17" s="612"/>
      <c r="AK17" s="688"/>
    </row>
    <row r="18" spans="1:37" ht="35.1" customHeight="1">
      <c r="A18" s="496"/>
      <c r="B18" s="497" t="s">
        <v>506</v>
      </c>
      <c r="C18" s="497"/>
      <c r="D18" s="497"/>
      <c r="E18" s="529" t="s">
        <v>697</v>
      </c>
      <c r="F18" s="667"/>
      <c r="G18" s="504"/>
      <c r="H18" s="499"/>
      <c r="I18" s="504"/>
      <c r="J18" s="390" t="s">
        <v>366</v>
      </c>
      <c r="K18" s="390" t="s">
        <v>229</v>
      </c>
      <c r="L18" s="416" t="s">
        <v>362</v>
      </c>
      <c r="M18" s="505">
        <v>0</v>
      </c>
      <c r="N18" s="501">
        <v>10</v>
      </c>
      <c r="O18" s="505">
        <v>0</v>
      </c>
      <c r="P18" s="505"/>
      <c r="Q18" s="631">
        <f>M18+(N18-M18)/4</f>
        <v>2.5</v>
      </c>
      <c r="R18" s="631">
        <f>Q18+(N18-M18)/4</f>
        <v>5</v>
      </c>
      <c r="S18" s="631">
        <f>R18+(N18-M18)/4</f>
        <v>7.5</v>
      </c>
      <c r="T18" s="631">
        <f>S18+(N18-M18)/4</f>
        <v>10</v>
      </c>
      <c r="U18" s="502"/>
      <c r="V18" s="502"/>
      <c r="W18" s="603"/>
      <c r="X18" s="500"/>
      <c r="Y18" s="608"/>
      <c r="Z18" s="654"/>
      <c r="AA18" s="617"/>
      <c r="AB18" s="407"/>
      <c r="AC18" s="397"/>
      <c r="AD18" s="654">
        <f t="shared" si="1"/>
        <v>1.25</v>
      </c>
      <c r="AE18" s="617"/>
      <c r="AF18" s="400"/>
      <c r="AG18" s="397"/>
      <c r="AI18" s="611"/>
      <c r="AJ18" s="612"/>
      <c r="AK18" s="688"/>
    </row>
    <row r="19" spans="1:37" ht="35.1" customHeight="1">
      <c r="A19" s="496"/>
      <c r="B19" s="497" t="s">
        <v>507</v>
      </c>
      <c r="C19" s="497"/>
      <c r="D19" s="497"/>
      <c r="E19" s="529" t="s">
        <v>430</v>
      </c>
      <c r="F19" s="667" t="s">
        <v>698</v>
      </c>
      <c r="G19" s="504"/>
      <c r="H19" s="499"/>
      <c r="I19" s="504"/>
      <c r="J19" s="390" t="s">
        <v>366</v>
      </c>
      <c r="K19" s="390" t="s">
        <v>229</v>
      </c>
      <c r="L19" s="416" t="s">
        <v>362</v>
      </c>
      <c r="M19" s="505">
        <v>0</v>
      </c>
      <c r="N19" s="501">
        <v>20</v>
      </c>
      <c r="O19" s="505">
        <v>0</v>
      </c>
      <c r="P19" s="505"/>
      <c r="Q19" s="631">
        <f>M19+(N19-M19)/4</f>
        <v>5</v>
      </c>
      <c r="R19" s="631">
        <f>Q19+(N19-M19)/4</f>
        <v>10</v>
      </c>
      <c r="S19" s="631">
        <f>R19+(N19-M19)/4</f>
        <v>15</v>
      </c>
      <c r="T19" s="631">
        <f>S19+(N19-M19)/4</f>
        <v>20</v>
      </c>
      <c r="U19" s="502"/>
      <c r="V19" s="502"/>
      <c r="W19" s="603"/>
      <c r="X19" s="500"/>
      <c r="Y19" s="608"/>
      <c r="Z19" s="654"/>
      <c r="AA19" s="617"/>
      <c r="AB19" s="407"/>
      <c r="AC19" s="397"/>
      <c r="AD19" s="654">
        <f t="shared" si="1"/>
        <v>2.5</v>
      </c>
      <c r="AE19" s="617"/>
      <c r="AF19" s="400"/>
      <c r="AG19" s="397"/>
      <c r="AI19" s="611"/>
      <c r="AJ19" s="612"/>
      <c r="AK19" s="688"/>
    </row>
    <row r="20" spans="1:37" ht="35.1" customHeight="1">
      <c r="A20" s="496"/>
      <c r="B20" s="497" t="s">
        <v>508</v>
      </c>
      <c r="C20" s="497"/>
      <c r="D20" s="497"/>
      <c r="E20" s="529" t="s">
        <v>431</v>
      </c>
      <c r="F20" s="667"/>
      <c r="G20" s="504"/>
      <c r="H20" s="499"/>
      <c r="I20" s="504"/>
      <c r="J20" s="390" t="s">
        <v>366</v>
      </c>
      <c r="K20" s="390" t="s">
        <v>229</v>
      </c>
      <c r="L20" s="416" t="s">
        <v>362</v>
      </c>
      <c r="M20" s="505">
        <v>0</v>
      </c>
      <c r="N20" s="501">
        <v>10</v>
      </c>
      <c r="O20" s="505">
        <v>0</v>
      </c>
      <c r="P20" s="505"/>
      <c r="Q20" s="631">
        <f>M20+(N20-M20)/4</f>
        <v>2.5</v>
      </c>
      <c r="R20" s="631">
        <f>Q20+(N20-M20)/4</f>
        <v>5</v>
      </c>
      <c r="S20" s="631">
        <f>R20+(N20-M20)/4</f>
        <v>7.5</v>
      </c>
      <c r="T20" s="631">
        <f>S20+(N20-M20)/4</f>
        <v>10</v>
      </c>
      <c r="U20" s="502"/>
      <c r="V20" s="502"/>
      <c r="W20" s="603"/>
      <c r="X20" s="500"/>
      <c r="Y20" s="608"/>
      <c r="Z20" s="654"/>
      <c r="AA20" s="617"/>
      <c r="AB20" s="407"/>
      <c r="AC20" s="397"/>
      <c r="AD20" s="654">
        <f t="shared" si="1"/>
        <v>1.25</v>
      </c>
      <c r="AE20" s="617"/>
      <c r="AF20" s="400"/>
      <c r="AG20" s="397"/>
      <c r="AI20" s="611"/>
      <c r="AJ20" s="612"/>
      <c r="AK20" s="688"/>
    </row>
    <row r="21" spans="1:37" s="572" customFormat="1" ht="35.1" customHeight="1">
      <c r="A21" s="559"/>
      <c r="B21" s="560" t="s">
        <v>387</v>
      </c>
      <c r="C21" s="560"/>
      <c r="D21" s="560"/>
      <c r="E21" s="561" t="s">
        <v>390</v>
      </c>
      <c r="F21" s="562"/>
      <c r="G21" s="563"/>
      <c r="H21" s="564"/>
      <c r="I21" s="563"/>
      <c r="J21" s="565"/>
      <c r="K21" s="565"/>
      <c r="L21" s="566"/>
      <c r="M21" s="567"/>
      <c r="N21" s="568"/>
      <c r="O21" s="567"/>
      <c r="P21" s="567"/>
      <c r="Q21" s="567"/>
      <c r="R21" s="567"/>
      <c r="S21" s="567"/>
      <c r="T21" s="567"/>
      <c r="U21" s="569"/>
      <c r="V21" s="569">
        <f>'DMF PI Links Physical Prog.S1'!Q21</f>
        <v>65</v>
      </c>
      <c r="W21" s="662"/>
      <c r="X21" s="614"/>
      <c r="Y21" s="569">
        <f>'3. DMF Progress'!F17</f>
        <v>7.4775999999999998</v>
      </c>
      <c r="Z21" s="627"/>
      <c r="AA21" s="569">
        <f>'3. DMF Progress'!AI17</f>
        <v>10.142011400793651</v>
      </c>
      <c r="AB21" s="569">
        <f>'3. DMF Progress'!AJ17</f>
        <v>16.523165967193648</v>
      </c>
      <c r="AC21" s="562"/>
      <c r="AD21" s="627"/>
      <c r="AE21" s="686">
        <f>'3. DMF Progress'!AS17</f>
        <v>1.7910672416666669</v>
      </c>
      <c r="AF21" s="686">
        <f>'3. DMF Progress'!AT17</f>
        <v>4.7531049638888891</v>
      </c>
      <c r="AG21" s="562"/>
      <c r="AI21" s="687"/>
      <c r="AJ21" s="689">
        <f>X21+AA21+AE21</f>
        <v>11.933078642460318</v>
      </c>
      <c r="AK21" s="689">
        <f>Y21+AB21+AF21</f>
        <v>28.753870931082538</v>
      </c>
    </row>
    <row r="22" spans="1:37" ht="249" customHeight="1">
      <c r="A22" s="496">
        <v>4</v>
      </c>
      <c r="B22" s="497" t="s">
        <v>392</v>
      </c>
      <c r="C22" s="497" t="s">
        <v>416</v>
      </c>
      <c r="D22" s="497"/>
      <c r="E22" s="531" t="s">
        <v>906</v>
      </c>
      <c r="F22" s="668" t="s">
        <v>679</v>
      </c>
      <c r="G22" s="504"/>
      <c r="H22" s="499" t="s">
        <v>660</v>
      </c>
      <c r="I22" s="504"/>
      <c r="J22" s="390" t="s">
        <v>365</v>
      </c>
      <c r="K22" s="390" t="s">
        <v>230</v>
      </c>
      <c r="L22" s="416" t="s">
        <v>435</v>
      </c>
      <c r="M22" s="505">
        <v>0</v>
      </c>
      <c r="N22" s="501">
        <v>27</v>
      </c>
      <c r="O22" s="505">
        <v>0</v>
      </c>
      <c r="P22" s="500">
        <f>'Output 1'!I9</f>
        <v>10</v>
      </c>
      <c r="Q22" s="500">
        <f>'Output 1'!M9</f>
        <v>9</v>
      </c>
      <c r="R22" s="500"/>
      <c r="S22" s="500"/>
      <c r="T22" s="500"/>
      <c r="U22" s="502"/>
      <c r="V22" s="502">
        <f>'DMF PI Links Physical Prog.S1'!Q22</f>
        <v>15</v>
      </c>
      <c r="W22" s="603">
        <f>P22</f>
        <v>10</v>
      </c>
      <c r="X22" s="597">
        <f>'3. DMF Progress'!E9</f>
        <v>10.06</v>
      </c>
      <c r="Y22" s="602">
        <f>'3. DMF Progress'!F9</f>
        <v>1.5090000000000001</v>
      </c>
      <c r="Z22" s="654">
        <f t="shared" ref="Z22:Z28" si="2">Q22/2</f>
        <v>4.5</v>
      </c>
      <c r="AA22" s="617">
        <f>'3. DMF Progress'!P9</f>
        <v>30.667145449735447</v>
      </c>
      <c r="AB22" s="740">
        <f>'3. DMF Progress'!AJ9</f>
        <v>4.600071817460317</v>
      </c>
      <c r="AC22" s="397" t="s">
        <v>873</v>
      </c>
      <c r="AD22" s="654">
        <f t="shared" ref="AD22:AD39" si="3">Q22/2</f>
        <v>4.5</v>
      </c>
      <c r="AE22" s="617"/>
      <c r="AF22" s="400">
        <f t="shared" si="0"/>
        <v>0</v>
      </c>
      <c r="AG22" s="397"/>
      <c r="AI22" s="611">
        <f>W22+Z22+AD22</f>
        <v>19</v>
      </c>
      <c r="AJ22" s="612">
        <f>X22+AA22+AE22</f>
        <v>40.727145449735445</v>
      </c>
      <c r="AK22" s="688">
        <f>Y22+AB22+AF22</f>
        <v>6.1090718174603174</v>
      </c>
    </row>
    <row r="23" spans="1:37" ht="35.1" customHeight="1">
      <c r="A23" s="496"/>
      <c r="B23" s="497" t="s">
        <v>479</v>
      </c>
      <c r="C23" s="497"/>
      <c r="D23" s="497"/>
      <c r="E23" s="529" t="s">
        <v>461</v>
      </c>
      <c r="F23" s="667"/>
      <c r="G23" s="504"/>
      <c r="H23" s="499"/>
      <c r="I23" s="504"/>
      <c r="J23" s="390" t="s">
        <v>365</v>
      </c>
      <c r="K23" s="390" t="s">
        <v>230</v>
      </c>
      <c r="L23" s="416" t="s">
        <v>462</v>
      </c>
      <c r="M23" s="505">
        <v>0</v>
      </c>
      <c r="N23" s="501">
        <v>27</v>
      </c>
      <c r="O23" s="505">
        <v>0</v>
      </c>
      <c r="P23" s="500">
        <f>'Output 1'!I9</f>
        <v>10</v>
      </c>
      <c r="Q23" s="500">
        <f>'Output 1'!M9</f>
        <v>9</v>
      </c>
      <c r="R23" s="500">
        <v>8</v>
      </c>
      <c r="S23" s="500"/>
      <c r="T23" s="500"/>
      <c r="U23" s="502"/>
      <c r="V23" s="502"/>
      <c r="W23" s="603">
        <f>'Output 1'!I9</f>
        <v>10</v>
      </c>
      <c r="X23" s="597">
        <f>'Output 1'!J9</f>
        <v>17.1936</v>
      </c>
      <c r="Y23" s="602">
        <f>'3. DMF Progress'!F10</f>
        <v>0.20649999999999999</v>
      </c>
      <c r="Z23" s="654">
        <f t="shared" si="2"/>
        <v>4.5</v>
      </c>
      <c r="AA23" s="617"/>
      <c r="AB23" s="407"/>
      <c r="AC23" s="397"/>
      <c r="AD23" s="654">
        <f t="shared" si="3"/>
        <v>4.5</v>
      </c>
      <c r="AE23" s="617"/>
      <c r="AF23" s="400"/>
      <c r="AG23" s="397"/>
      <c r="AI23" s="611"/>
      <c r="AJ23" s="612"/>
      <c r="AK23" s="613"/>
    </row>
    <row r="24" spans="1:37" ht="35.1" customHeight="1">
      <c r="A24" s="496"/>
      <c r="B24" s="497" t="s">
        <v>480</v>
      </c>
      <c r="C24" s="497"/>
      <c r="D24" s="497"/>
      <c r="E24" s="529" t="s">
        <v>433</v>
      </c>
      <c r="F24" s="667"/>
      <c r="G24" s="504"/>
      <c r="H24" s="499"/>
      <c r="I24" s="504"/>
      <c r="J24" s="390" t="s">
        <v>365</v>
      </c>
      <c r="K24" s="390" t="s">
        <v>230</v>
      </c>
      <c r="L24" s="416" t="s">
        <v>205</v>
      </c>
      <c r="M24" s="505">
        <v>0</v>
      </c>
      <c r="N24" s="501">
        <v>15000</v>
      </c>
      <c r="O24" s="505">
        <v>0</v>
      </c>
      <c r="P24" s="500">
        <f>'Output 1'!I12</f>
        <v>4050</v>
      </c>
      <c r="Q24" s="500">
        <f>'Output 1'!M12</f>
        <v>5333</v>
      </c>
      <c r="R24" s="517">
        <f>N24-(P24+Q24)</f>
        <v>5617</v>
      </c>
      <c r="S24" s="500"/>
      <c r="T24" s="500"/>
      <c r="U24" s="502"/>
      <c r="V24" s="502"/>
      <c r="W24" s="603">
        <f>'Output 1'!I12</f>
        <v>4050</v>
      </c>
      <c r="X24" s="597">
        <f>'Output 1'!J12</f>
        <v>1399.5000000000002</v>
      </c>
      <c r="Y24" s="602">
        <f>'Output 1'!K12</f>
        <v>1.8660000000000001</v>
      </c>
      <c r="Z24" s="654">
        <f t="shared" si="2"/>
        <v>2666.5</v>
      </c>
      <c r="AA24" s="617"/>
      <c r="AB24" s="407"/>
      <c r="AC24" s="397"/>
      <c r="AD24" s="654">
        <f t="shared" si="3"/>
        <v>2666.5</v>
      </c>
      <c r="AE24" s="617"/>
      <c r="AF24" s="400"/>
      <c r="AG24" s="397"/>
      <c r="AI24" s="611"/>
      <c r="AJ24" s="612"/>
      <c r="AK24" s="613"/>
    </row>
    <row r="25" spans="1:37" ht="35.1" customHeight="1">
      <c r="A25" s="496"/>
      <c r="B25" s="497" t="s">
        <v>481</v>
      </c>
      <c r="C25" s="497"/>
      <c r="D25" s="660" t="s">
        <v>672</v>
      </c>
      <c r="E25" s="529" t="s">
        <v>434</v>
      </c>
      <c r="F25" s="667"/>
      <c r="G25" s="504"/>
      <c r="H25" s="499"/>
      <c r="I25" s="504"/>
      <c r="J25" s="390" t="s">
        <v>365</v>
      </c>
      <c r="K25" s="390" t="s">
        <v>230</v>
      </c>
      <c r="L25" s="416" t="s">
        <v>436</v>
      </c>
      <c r="M25" s="505">
        <v>0</v>
      </c>
      <c r="N25" s="501">
        <v>25000</v>
      </c>
      <c r="O25" s="505">
        <v>0</v>
      </c>
      <c r="P25" s="517"/>
      <c r="Q25" s="500"/>
      <c r="R25" s="517"/>
      <c r="S25" s="500"/>
      <c r="T25" s="500"/>
      <c r="U25" s="502"/>
      <c r="V25" s="502"/>
      <c r="W25" s="603"/>
      <c r="X25" s="597"/>
      <c r="Y25" s="602"/>
      <c r="Z25" s="654">
        <f t="shared" si="2"/>
        <v>0</v>
      </c>
      <c r="AA25" s="617"/>
      <c r="AB25" s="407"/>
      <c r="AC25" s="397"/>
      <c r="AD25" s="654">
        <f t="shared" si="3"/>
        <v>0</v>
      </c>
      <c r="AE25" s="617"/>
      <c r="AF25" s="400"/>
      <c r="AG25" s="397"/>
      <c r="AI25" s="611"/>
      <c r="AJ25" s="612"/>
      <c r="AK25" s="613"/>
    </row>
    <row r="26" spans="1:37" ht="51" customHeight="1">
      <c r="A26" s="496">
        <v>5</v>
      </c>
      <c r="B26" s="497" t="s">
        <v>393</v>
      </c>
      <c r="C26" s="497" t="s">
        <v>413</v>
      </c>
      <c r="D26" s="497"/>
      <c r="E26" s="528" t="s">
        <v>391</v>
      </c>
      <c r="F26" s="668" t="s">
        <v>679</v>
      </c>
      <c r="G26" s="504"/>
      <c r="H26" s="499" t="s">
        <v>660</v>
      </c>
      <c r="I26" s="504"/>
      <c r="J26" s="390" t="s">
        <v>366</v>
      </c>
      <c r="K26" s="390" t="s">
        <v>229</v>
      </c>
      <c r="L26" s="416" t="s">
        <v>379</v>
      </c>
      <c r="M26" s="505">
        <v>0</v>
      </c>
      <c r="N26" s="501">
        <v>800</v>
      </c>
      <c r="O26" s="505">
        <v>0</v>
      </c>
      <c r="P26" s="505">
        <v>80</v>
      </c>
      <c r="Q26" s="505">
        <v>280</v>
      </c>
      <c r="R26" s="505">
        <v>290</v>
      </c>
      <c r="S26" s="505">
        <v>150</v>
      </c>
      <c r="T26" s="505">
        <v>0</v>
      </c>
      <c r="U26" s="502"/>
      <c r="V26" s="502">
        <f>'DMF PI Links Physical Prog.S1'!Q26</f>
        <v>5</v>
      </c>
      <c r="W26" s="603"/>
      <c r="X26" s="597">
        <f>'3. DMF Progress'!E10</f>
        <v>4.13</v>
      </c>
      <c r="Y26" s="602">
        <f>'3. DMF Progress'!F10</f>
        <v>0.20649999999999999</v>
      </c>
      <c r="Z26" s="654">
        <f t="shared" si="2"/>
        <v>140</v>
      </c>
      <c r="AA26" s="617">
        <f>'3. DMF Progress'!P10</f>
        <v>1.125</v>
      </c>
      <c r="AB26" s="740">
        <f>'3. DMF Progress'!AJ10</f>
        <v>5.6249999999999994E-2</v>
      </c>
      <c r="AC26" s="397" t="s">
        <v>875</v>
      </c>
      <c r="AD26" s="654">
        <f t="shared" si="3"/>
        <v>140</v>
      </c>
      <c r="AE26" s="617"/>
      <c r="AF26" s="400">
        <f t="shared" si="0"/>
        <v>0</v>
      </c>
      <c r="AG26" s="397"/>
      <c r="AI26" s="611">
        <f t="shared" ref="AI26:AK29" si="4">W26+Z26+AD26</f>
        <v>280</v>
      </c>
      <c r="AJ26" s="612">
        <f t="shared" si="4"/>
        <v>5.2549999999999999</v>
      </c>
      <c r="AK26" s="688">
        <f t="shared" si="4"/>
        <v>0.26274999999999998</v>
      </c>
    </row>
    <row r="27" spans="1:37" ht="281.25" customHeight="1">
      <c r="A27" s="496">
        <v>6</v>
      </c>
      <c r="B27" s="497" t="s">
        <v>394</v>
      </c>
      <c r="C27" s="497" t="s">
        <v>414</v>
      </c>
      <c r="D27" s="497"/>
      <c r="E27" s="531" t="s">
        <v>683</v>
      </c>
      <c r="F27" s="668" t="s">
        <v>679</v>
      </c>
      <c r="G27" s="504"/>
      <c r="H27" s="499" t="s">
        <v>455</v>
      </c>
      <c r="I27" s="504"/>
      <c r="J27" s="390" t="s">
        <v>365</v>
      </c>
      <c r="K27" s="390" t="s">
        <v>231</v>
      </c>
      <c r="L27" s="416" t="s">
        <v>378</v>
      </c>
      <c r="M27" s="505">
        <v>0</v>
      </c>
      <c r="N27" s="501">
        <v>250</v>
      </c>
      <c r="O27" s="505">
        <v>0</v>
      </c>
      <c r="P27" s="505">
        <f>'Output 1'!I23</f>
        <v>67.95</v>
      </c>
      <c r="Q27" s="505">
        <f>'Output 1'!M23</f>
        <v>100.1</v>
      </c>
      <c r="R27" s="505">
        <f>N27-(O27+P27+Q27)</f>
        <v>81.949999999999989</v>
      </c>
      <c r="S27" s="505"/>
      <c r="T27" s="505"/>
      <c r="U27" s="502"/>
      <c r="V27" s="502">
        <f>'DMF PI Links Physical Prog.S1'!Q27</f>
        <v>15</v>
      </c>
      <c r="W27" s="603"/>
      <c r="X27" s="597">
        <f>'3. DMF Progress'!E11</f>
        <v>14.05</v>
      </c>
      <c r="Y27" s="602">
        <f>'3. DMF Progress'!F11</f>
        <v>2.1074999999999999</v>
      </c>
      <c r="Z27" s="654">
        <f t="shared" si="2"/>
        <v>50.05</v>
      </c>
      <c r="AA27" s="617">
        <f>'3. DMF Progress'!P11</f>
        <v>25.402819999999998</v>
      </c>
      <c r="AB27" s="740">
        <f>'3. DMF Progress'!AJ11</f>
        <v>3.8104230000000001</v>
      </c>
      <c r="AC27" s="397" t="s">
        <v>876</v>
      </c>
      <c r="AD27" s="654">
        <f t="shared" si="3"/>
        <v>50.05</v>
      </c>
      <c r="AE27" s="617"/>
      <c r="AF27" s="400">
        <f t="shared" si="0"/>
        <v>0</v>
      </c>
      <c r="AG27" s="397"/>
      <c r="AI27" s="611">
        <f t="shared" si="4"/>
        <v>100.1</v>
      </c>
      <c r="AJ27" s="612">
        <f t="shared" si="4"/>
        <v>39.452820000000003</v>
      </c>
      <c r="AK27" s="688">
        <f t="shared" si="4"/>
        <v>5.917923</v>
      </c>
    </row>
    <row r="28" spans="1:37" ht="108.75" customHeight="1">
      <c r="A28" s="496">
        <v>7</v>
      </c>
      <c r="B28" s="497" t="s">
        <v>395</v>
      </c>
      <c r="C28" s="497" t="s">
        <v>415</v>
      </c>
      <c r="D28" s="497"/>
      <c r="E28" s="528" t="s">
        <v>611</v>
      </c>
      <c r="F28" s="668" t="s">
        <v>679</v>
      </c>
      <c r="G28" s="504" t="s">
        <v>519</v>
      </c>
      <c r="H28" s="499" t="s">
        <v>660</v>
      </c>
      <c r="I28" s="504"/>
      <c r="J28" s="390" t="s">
        <v>366</v>
      </c>
      <c r="K28" s="390" t="s">
        <v>229</v>
      </c>
      <c r="L28" s="416" t="s">
        <v>437</v>
      </c>
      <c r="M28" s="501">
        <v>5</v>
      </c>
      <c r="N28" s="501">
        <v>80</v>
      </c>
      <c r="O28" s="505">
        <v>0</v>
      </c>
      <c r="P28" s="505">
        <v>20</v>
      </c>
      <c r="Q28" s="505">
        <v>35</v>
      </c>
      <c r="R28" s="505">
        <v>25</v>
      </c>
      <c r="S28" s="505">
        <v>0</v>
      </c>
      <c r="T28" s="505">
        <v>0</v>
      </c>
      <c r="U28" s="502"/>
      <c r="V28" s="502">
        <f>'DMF PI Links Physical Prog.S1'!Q28</f>
        <v>15</v>
      </c>
      <c r="W28" s="603"/>
      <c r="X28" s="597">
        <f>'3. DMF Progress'!E12</f>
        <v>15.06</v>
      </c>
      <c r="Y28" s="602">
        <f>'3. DMF Progress'!F12</f>
        <v>2.2589999999999999</v>
      </c>
      <c r="Z28" s="654">
        <f t="shared" si="2"/>
        <v>17.5</v>
      </c>
      <c r="AA28" s="617">
        <f>'3. DMF Progress'!P12</f>
        <v>39.865625000000001</v>
      </c>
      <c r="AB28" s="740">
        <f>'3. DMF Progress'!AJ12</f>
        <v>5.9798437499999997</v>
      </c>
      <c r="AC28" s="397" t="s">
        <v>877</v>
      </c>
      <c r="AD28" s="654">
        <f t="shared" si="3"/>
        <v>17.5</v>
      </c>
      <c r="AE28" s="617"/>
      <c r="AF28" s="400">
        <f t="shared" si="0"/>
        <v>0</v>
      </c>
      <c r="AG28" s="397"/>
      <c r="AI28" s="611">
        <f t="shared" si="4"/>
        <v>35</v>
      </c>
      <c r="AJ28" s="612">
        <f t="shared" si="4"/>
        <v>54.925625000000004</v>
      </c>
      <c r="AK28" s="688">
        <f t="shared" si="4"/>
        <v>8.2388437499999991</v>
      </c>
    </row>
    <row r="29" spans="1:37" ht="115.5" customHeight="1">
      <c r="A29" s="496">
        <v>8</v>
      </c>
      <c r="B29" s="497" t="s">
        <v>396</v>
      </c>
      <c r="C29" s="497" t="s">
        <v>417</v>
      </c>
      <c r="D29" s="497"/>
      <c r="E29" s="528" t="s">
        <v>612</v>
      </c>
      <c r="F29" s="668" t="s">
        <v>679</v>
      </c>
      <c r="G29" s="504" t="s">
        <v>520</v>
      </c>
      <c r="H29" s="499" t="s">
        <v>660</v>
      </c>
      <c r="I29" s="504"/>
      <c r="J29" s="390" t="s">
        <v>366</v>
      </c>
      <c r="K29" s="390" t="s">
        <v>229</v>
      </c>
      <c r="L29" s="416"/>
      <c r="M29" s="505"/>
      <c r="N29" s="501"/>
      <c r="O29" s="505"/>
      <c r="P29" s="505"/>
      <c r="Q29" s="505"/>
      <c r="R29" s="505"/>
      <c r="S29" s="505"/>
      <c r="T29" s="505"/>
      <c r="U29" s="502"/>
      <c r="V29" s="502">
        <f>'DMF PI Links Physical Prog.S1'!Q29</f>
        <v>5</v>
      </c>
      <c r="W29" s="603"/>
      <c r="X29" s="597">
        <f>'3. DMF Progress'!E13</f>
        <v>16</v>
      </c>
      <c r="Y29" s="602">
        <f>'3. DMF Progress'!F13</f>
        <v>0.8</v>
      </c>
      <c r="Z29" s="654"/>
      <c r="AA29" s="617">
        <f>'3. DMF Progress'!P13</f>
        <v>23.4</v>
      </c>
      <c r="AB29" s="740">
        <f>'3. DMF Progress'!AJ13</f>
        <v>1.17</v>
      </c>
      <c r="AC29" s="397" t="s">
        <v>878</v>
      </c>
      <c r="AD29" s="654">
        <f t="shared" si="3"/>
        <v>0</v>
      </c>
      <c r="AE29" s="617"/>
      <c r="AF29" s="400" t="e">
        <f t="shared" si="0"/>
        <v>#DIV/0!</v>
      </c>
      <c r="AG29" s="397"/>
      <c r="AI29" s="611">
        <f t="shared" si="4"/>
        <v>0</v>
      </c>
      <c r="AJ29" s="612">
        <f t="shared" si="4"/>
        <v>39.4</v>
      </c>
      <c r="AK29" s="688" t="e">
        <f t="shared" si="4"/>
        <v>#DIV/0!</v>
      </c>
    </row>
    <row r="30" spans="1:37" ht="75.75" customHeight="1">
      <c r="A30" s="496"/>
      <c r="B30" s="497" t="s">
        <v>482</v>
      </c>
      <c r="C30" s="497"/>
      <c r="D30" s="497"/>
      <c r="E30" s="529" t="s">
        <v>438</v>
      </c>
      <c r="F30" s="667"/>
      <c r="G30" s="504"/>
      <c r="H30" s="499" t="s">
        <v>660</v>
      </c>
      <c r="I30" s="504"/>
      <c r="J30" s="390" t="s">
        <v>366</v>
      </c>
      <c r="K30" s="390" t="s">
        <v>229</v>
      </c>
      <c r="L30" s="416" t="s">
        <v>440</v>
      </c>
      <c r="M30" s="501">
        <v>700</v>
      </c>
      <c r="N30" s="501">
        <v>1500</v>
      </c>
      <c r="O30" s="505">
        <v>0</v>
      </c>
      <c r="P30" s="505">
        <v>0</v>
      </c>
      <c r="Q30" s="505">
        <v>0</v>
      </c>
      <c r="R30" s="505">
        <f>$M$30+200</f>
        <v>900</v>
      </c>
      <c r="S30" s="505">
        <f>R30+200</f>
        <v>1100</v>
      </c>
      <c r="T30" s="505">
        <f>S30+400</f>
        <v>1500</v>
      </c>
      <c r="U30" s="502"/>
      <c r="V30" s="502"/>
      <c r="W30" s="603"/>
      <c r="X30" s="597"/>
      <c r="Y30" s="602"/>
      <c r="Z30" s="654">
        <f>Q30/2</f>
        <v>0</v>
      </c>
      <c r="AA30" s="617"/>
      <c r="AB30" s="407"/>
      <c r="AC30" s="397"/>
      <c r="AD30" s="654">
        <f t="shared" si="3"/>
        <v>0</v>
      </c>
      <c r="AE30" s="617"/>
      <c r="AF30" s="400"/>
      <c r="AG30" s="397"/>
      <c r="AI30" s="611"/>
      <c r="AJ30" s="612"/>
      <c r="AK30" s="613"/>
    </row>
    <row r="31" spans="1:37" ht="96.75" customHeight="1">
      <c r="A31" s="496"/>
      <c r="B31" s="497" t="s">
        <v>483</v>
      </c>
      <c r="C31" s="497"/>
      <c r="D31" s="497"/>
      <c r="E31" s="529" t="s">
        <v>439</v>
      </c>
      <c r="F31" s="667"/>
      <c r="G31" s="504"/>
      <c r="H31" s="499" t="s">
        <v>660</v>
      </c>
      <c r="I31" s="504"/>
      <c r="J31" s="390" t="s">
        <v>366</v>
      </c>
      <c r="K31" s="390" t="s">
        <v>229</v>
      </c>
      <c r="L31" s="416" t="s">
        <v>354</v>
      </c>
      <c r="M31" s="505">
        <v>0</v>
      </c>
      <c r="N31" s="501">
        <v>75000</v>
      </c>
      <c r="O31" s="505">
        <v>0</v>
      </c>
      <c r="P31" s="505">
        <v>0</v>
      </c>
      <c r="Q31" s="505">
        <v>0</v>
      </c>
      <c r="R31" s="505">
        <f>$N$31/$N$30*R30</f>
        <v>45000</v>
      </c>
      <c r="S31" s="505">
        <f t="shared" ref="S31:T31" si="5">$N$31/$N$30*S30</f>
        <v>55000</v>
      </c>
      <c r="T31" s="505">
        <f t="shared" si="5"/>
        <v>75000</v>
      </c>
      <c r="U31" s="502"/>
      <c r="V31" s="502"/>
      <c r="W31" s="603"/>
      <c r="X31" s="597"/>
      <c r="Y31" s="602"/>
      <c r="Z31" s="654">
        <f>Q31/2</f>
        <v>0</v>
      </c>
      <c r="AA31" s="617"/>
      <c r="AB31" s="407"/>
      <c r="AC31" s="397"/>
      <c r="AD31" s="654">
        <f t="shared" si="3"/>
        <v>0</v>
      </c>
      <c r="AE31" s="617"/>
      <c r="AF31" s="400"/>
      <c r="AG31" s="397"/>
      <c r="AI31" s="611"/>
      <c r="AJ31" s="612"/>
      <c r="AK31" s="613"/>
    </row>
    <row r="32" spans="1:37" ht="137.25" customHeight="1">
      <c r="A32" s="496">
        <v>9</v>
      </c>
      <c r="B32" s="497" t="s">
        <v>397</v>
      </c>
      <c r="C32" s="497" t="s">
        <v>418</v>
      </c>
      <c r="D32" s="497"/>
      <c r="E32" s="659" t="s">
        <v>459</v>
      </c>
      <c r="F32" s="668" t="s">
        <v>679</v>
      </c>
      <c r="G32" s="504" t="s">
        <v>521</v>
      </c>
      <c r="H32" s="499" t="s">
        <v>660</v>
      </c>
      <c r="I32" s="504"/>
      <c r="J32" s="390" t="s">
        <v>366</v>
      </c>
      <c r="K32" s="390" t="s">
        <v>229</v>
      </c>
      <c r="L32" s="416"/>
      <c r="M32" s="500"/>
      <c r="N32" s="501"/>
      <c r="O32" s="640"/>
      <c r="P32" s="640"/>
      <c r="Q32" s="640"/>
      <c r="R32" s="640"/>
      <c r="S32" s="640"/>
      <c r="T32" s="640"/>
      <c r="U32" s="502"/>
      <c r="V32" s="502"/>
      <c r="W32" s="603"/>
      <c r="X32" s="597"/>
      <c r="Y32" s="602"/>
      <c r="Z32" s="655"/>
      <c r="AA32" s="617"/>
      <c r="AB32" s="740">
        <f>(AB33+AB35+AB37)</f>
        <v>0.90657739973333329</v>
      </c>
      <c r="AC32" s="397" t="s">
        <v>879</v>
      </c>
      <c r="AD32" s="654">
        <f t="shared" si="3"/>
        <v>0</v>
      </c>
      <c r="AE32" s="617"/>
      <c r="AF32" s="400" t="e">
        <f t="shared" si="0"/>
        <v>#DIV/0!</v>
      </c>
      <c r="AG32" s="397"/>
      <c r="AI32" s="611"/>
      <c r="AJ32" s="612"/>
      <c r="AK32" s="613"/>
    </row>
    <row r="33" spans="1:37" ht="93.75" customHeight="1">
      <c r="A33" s="496"/>
      <c r="B33" s="497" t="s">
        <v>484</v>
      </c>
      <c r="C33" s="497" t="s">
        <v>510</v>
      </c>
      <c r="D33" s="497"/>
      <c r="E33" s="529" t="s">
        <v>614</v>
      </c>
      <c r="F33" s="667"/>
      <c r="G33" s="504"/>
      <c r="H33" s="497" t="s">
        <v>474</v>
      </c>
      <c r="I33" s="504"/>
      <c r="J33" s="390" t="s">
        <v>366</v>
      </c>
      <c r="K33" s="390" t="s">
        <v>229</v>
      </c>
      <c r="L33" s="416" t="s">
        <v>441</v>
      </c>
      <c r="M33" s="706" t="s">
        <v>515</v>
      </c>
      <c r="N33" s="501">
        <v>12000</v>
      </c>
      <c r="O33" s="505">
        <v>0</v>
      </c>
      <c r="P33" s="505">
        <v>500</v>
      </c>
      <c r="Q33" s="505">
        <v>2500</v>
      </c>
      <c r="R33" s="505">
        <v>4000</v>
      </c>
      <c r="S33" s="505">
        <v>3500</v>
      </c>
      <c r="T33" s="505">
        <v>1500</v>
      </c>
      <c r="U33" s="502"/>
      <c r="V33" s="502">
        <f>'DMF PI Links Physical Prog.S1'!Q33</f>
        <v>4</v>
      </c>
      <c r="W33" s="603"/>
      <c r="X33" s="597">
        <f>'3. DMF Progress'!E14</f>
        <v>7.07</v>
      </c>
      <c r="Y33" s="602">
        <f>'3. DMF Progress'!F14</f>
        <v>0.2828</v>
      </c>
      <c r="Z33" s="654">
        <f t="shared" ref="Z33:Z39" si="6">Q33/2</f>
        <v>1250</v>
      </c>
      <c r="AA33" s="617">
        <f>'3. DMF Progress'!P14</f>
        <v>3.6730558266666664</v>
      </c>
      <c r="AB33" s="658">
        <f>'3. DMF Progress'!AJ14</f>
        <v>0.14692223306666666</v>
      </c>
      <c r="AC33" s="397" t="s">
        <v>880</v>
      </c>
      <c r="AD33" s="654">
        <f t="shared" si="3"/>
        <v>1250</v>
      </c>
      <c r="AE33" s="617"/>
      <c r="AF33" s="400"/>
      <c r="AG33" s="397"/>
      <c r="AI33" s="611">
        <f>W33+Z33+AD33</f>
        <v>2500</v>
      </c>
      <c r="AJ33" s="612">
        <f>X33+AA33+AE33</f>
        <v>10.743055826666666</v>
      </c>
      <c r="AK33" s="688">
        <f>Y33+AB33+AF33</f>
        <v>0.42972223306666668</v>
      </c>
    </row>
    <row r="34" spans="1:37" ht="64.5" customHeight="1">
      <c r="A34" s="496"/>
      <c r="B34" s="497"/>
      <c r="C34" s="497"/>
      <c r="D34" s="497"/>
      <c r="E34" s="529" t="s">
        <v>615</v>
      </c>
      <c r="F34" s="667"/>
      <c r="G34" s="504"/>
      <c r="H34" s="499"/>
      <c r="I34" s="504"/>
      <c r="J34" s="390" t="s">
        <v>366</v>
      </c>
      <c r="K34" s="390" t="s">
        <v>229</v>
      </c>
      <c r="L34" s="416" t="s">
        <v>134</v>
      </c>
      <c r="M34" s="501">
        <v>11468</v>
      </c>
      <c r="N34" s="501">
        <v>80000</v>
      </c>
      <c r="O34" s="505">
        <v>0</v>
      </c>
      <c r="P34" s="505">
        <f>($N$34/$N$33)*P33</f>
        <v>3333.3333333333335</v>
      </c>
      <c r="Q34" s="505">
        <f t="shared" ref="Q34:T34" si="7">($N$34/$N$33)*Q33</f>
        <v>16666.666666666668</v>
      </c>
      <c r="R34" s="505">
        <f t="shared" si="7"/>
        <v>26666.666666666668</v>
      </c>
      <c r="S34" s="505">
        <f t="shared" si="7"/>
        <v>23333.333333333336</v>
      </c>
      <c r="T34" s="505">
        <f t="shared" si="7"/>
        <v>10000</v>
      </c>
      <c r="U34" s="502"/>
      <c r="V34" s="502"/>
      <c r="W34" s="603"/>
      <c r="X34" s="597"/>
      <c r="Y34" s="602"/>
      <c r="Z34" s="654">
        <f t="shared" si="6"/>
        <v>8333.3333333333339</v>
      </c>
      <c r="AA34" s="617"/>
      <c r="AB34" s="407"/>
      <c r="AC34" s="397"/>
      <c r="AD34" s="654">
        <f t="shared" si="3"/>
        <v>8333.3333333333339</v>
      </c>
      <c r="AE34" s="617"/>
      <c r="AF34" s="400"/>
      <c r="AG34" s="397"/>
      <c r="AI34" s="611"/>
      <c r="AJ34" s="612"/>
      <c r="AK34" s="613"/>
    </row>
    <row r="35" spans="1:37" ht="95.25" customHeight="1">
      <c r="A35" s="496"/>
      <c r="B35" s="497" t="s">
        <v>485</v>
      </c>
      <c r="C35" s="497" t="s">
        <v>511</v>
      </c>
      <c r="D35" s="497"/>
      <c r="E35" s="583" t="s">
        <v>616</v>
      </c>
      <c r="F35" s="667"/>
      <c r="G35" s="504"/>
      <c r="H35" s="497" t="s">
        <v>474</v>
      </c>
      <c r="I35" s="504"/>
      <c r="J35" s="390" t="s">
        <v>366</v>
      </c>
      <c r="K35" s="390" t="s">
        <v>229</v>
      </c>
      <c r="L35" s="416" t="s">
        <v>173</v>
      </c>
      <c r="M35" s="706" t="s">
        <v>515</v>
      </c>
      <c r="N35" s="501">
        <v>6000</v>
      </c>
      <c r="O35" s="505">
        <v>0</v>
      </c>
      <c r="P35" s="505">
        <v>250</v>
      </c>
      <c r="Q35" s="505">
        <v>1250</v>
      </c>
      <c r="R35" s="505">
        <v>1600</v>
      </c>
      <c r="S35" s="505">
        <v>1600</v>
      </c>
      <c r="T35" s="505">
        <v>1300</v>
      </c>
      <c r="U35" s="502"/>
      <c r="V35" s="502">
        <f>'DMF PI Links Physical Prog.S1'!Q35</f>
        <v>4</v>
      </c>
      <c r="W35" s="603"/>
      <c r="X35" s="597">
        <f>'3. DMF Progress'!E15</f>
        <v>7.47</v>
      </c>
      <c r="Y35" s="602">
        <f>'3. DMF Progress'!F15</f>
        <v>0.29880000000000001</v>
      </c>
      <c r="Z35" s="654">
        <f t="shared" si="6"/>
        <v>625</v>
      </c>
      <c r="AA35" s="617">
        <f>'3. DMF Progress'!P15</f>
        <v>4.8481591666666661</v>
      </c>
      <c r="AB35" s="740">
        <f>'3. DMF Progress'!AJ15</f>
        <v>0.19392636666666666</v>
      </c>
      <c r="AC35" s="397" t="s">
        <v>881</v>
      </c>
      <c r="AD35" s="654">
        <f t="shared" si="3"/>
        <v>625</v>
      </c>
      <c r="AE35" s="617"/>
      <c r="AF35" s="400"/>
      <c r="AG35" s="397"/>
      <c r="AI35" s="611">
        <f>W35+Z35+AD35</f>
        <v>1250</v>
      </c>
      <c r="AJ35" s="612">
        <f>X35+AA35+AE35</f>
        <v>12.318159166666666</v>
      </c>
      <c r="AK35" s="688">
        <f>Y35+AB35+AF35</f>
        <v>0.49272636666666669</v>
      </c>
    </row>
    <row r="36" spans="1:37" ht="55.5" customHeight="1">
      <c r="A36" s="496"/>
      <c r="B36" s="497"/>
      <c r="C36" s="497"/>
      <c r="D36" s="660" t="s">
        <v>672</v>
      </c>
      <c r="E36" s="583" t="s">
        <v>617</v>
      </c>
      <c r="F36" s="667"/>
      <c r="G36" s="504"/>
      <c r="H36" s="499"/>
      <c r="I36" s="504"/>
      <c r="J36" s="390" t="s">
        <v>366</v>
      </c>
      <c r="K36" s="390" t="s">
        <v>229</v>
      </c>
      <c r="L36" s="416" t="s">
        <v>134</v>
      </c>
      <c r="M36" s="501">
        <v>11468</v>
      </c>
      <c r="N36" s="501">
        <v>20000</v>
      </c>
      <c r="O36" s="505">
        <v>0</v>
      </c>
      <c r="P36" s="505">
        <f>($N$36/$N$35)*P35</f>
        <v>833.33333333333337</v>
      </c>
      <c r="Q36" s="505">
        <f t="shared" ref="Q36:T36" si="8">($N$36/$N$35)*Q35</f>
        <v>4166.666666666667</v>
      </c>
      <c r="R36" s="505">
        <f t="shared" si="8"/>
        <v>5333.3333333333339</v>
      </c>
      <c r="S36" s="505">
        <f t="shared" si="8"/>
        <v>5333.3333333333339</v>
      </c>
      <c r="T36" s="505">
        <f t="shared" si="8"/>
        <v>4333.3333333333339</v>
      </c>
      <c r="U36" s="502"/>
      <c r="V36" s="502"/>
      <c r="W36" s="603"/>
      <c r="X36" s="597"/>
      <c r="Y36" s="602"/>
      <c r="Z36" s="654">
        <f t="shared" si="6"/>
        <v>2083.3333333333335</v>
      </c>
      <c r="AA36" s="617"/>
      <c r="AB36" s="407"/>
      <c r="AC36" s="397"/>
      <c r="AD36" s="654">
        <f t="shared" si="3"/>
        <v>2083.3333333333335</v>
      </c>
      <c r="AE36" s="617"/>
      <c r="AF36" s="400"/>
      <c r="AG36" s="397"/>
      <c r="AI36" s="611"/>
      <c r="AJ36" s="612"/>
      <c r="AK36" s="613"/>
    </row>
    <row r="37" spans="1:37" ht="128.25" customHeight="1">
      <c r="A37" s="496"/>
      <c r="B37" s="497" t="s">
        <v>486</v>
      </c>
      <c r="C37" s="497" t="s">
        <v>512</v>
      </c>
      <c r="D37" s="497"/>
      <c r="E37" s="507" t="s">
        <v>825</v>
      </c>
      <c r="F37" s="668"/>
      <c r="G37" s="498" t="s">
        <v>521</v>
      </c>
      <c r="H37" s="497" t="s">
        <v>474</v>
      </c>
      <c r="I37" s="504"/>
      <c r="J37" s="390" t="s">
        <v>366</v>
      </c>
      <c r="K37" s="390" t="s">
        <v>229</v>
      </c>
      <c r="L37" s="416"/>
      <c r="M37" s="500" t="s">
        <v>515</v>
      </c>
      <c r="N37" s="501">
        <v>20000</v>
      </c>
      <c r="O37" s="640">
        <f>SUM(O38:O39)</f>
        <v>0</v>
      </c>
      <c r="P37" s="640">
        <v>2500</v>
      </c>
      <c r="Q37" s="640">
        <v>5000</v>
      </c>
      <c r="R37" s="640">
        <v>9500</v>
      </c>
      <c r="S37" s="640">
        <v>3000</v>
      </c>
      <c r="T37" s="640">
        <v>0</v>
      </c>
      <c r="U37" s="502"/>
      <c r="V37" s="502">
        <f>'DMF PI Links Physical Prog.S1'!Q37</f>
        <v>2</v>
      </c>
      <c r="W37" s="603"/>
      <c r="X37" s="597">
        <f>'3. DMF Progress'!E16</f>
        <v>0.7</v>
      </c>
      <c r="Y37" s="602">
        <f>'3. DMF Progress'!F16</f>
        <v>1.3999999999999999E-2</v>
      </c>
      <c r="Z37" s="654">
        <f t="shared" si="6"/>
        <v>2500</v>
      </c>
      <c r="AA37" s="617">
        <f>'3. DMF Progress'!P16</f>
        <v>28.286440000000002</v>
      </c>
      <c r="AB37" s="740">
        <f>'3. DMF Progress'!AJ16</f>
        <v>0.56572880000000003</v>
      </c>
      <c r="AC37" s="397" t="s">
        <v>882</v>
      </c>
      <c r="AD37" s="654">
        <f t="shared" si="3"/>
        <v>2500</v>
      </c>
      <c r="AE37" s="617"/>
      <c r="AF37" s="400"/>
      <c r="AG37" s="397"/>
      <c r="AI37" s="611">
        <f>W37+Z37+AD37</f>
        <v>5000</v>
      </c>
      <c r="AJ37" s="612">
        <f>X37+AA37+AE37</f>
        <v>28.986440000000002</v>
      </c>
      <c r="AK37" s="688">
        <f>Y37+AB37+AF37</f>
        <v>0.57972880000000004</v>
      </c>
    </row>
    <row r="38" spans="1:37" ht="86.25" customHeight="1">
      <c r="A38" s="496"/>
      <c r="B38" s="497" t="s">
        <v>486</v>
      </c>
      <c r="C38" s="497" t="s">
        <v>513</v>
      </c>
      <c r="D38" s="660" t="s">
        <v>672</v>
      </c>
      <c r="E38" s="529" t="s">
        <v>628</v>
      </c>
      <c r="F38" s="667"/>
      <c r="G38" s="504"/>
      <c r="H38" s="499"/>
      <c r="I38" s="504"/>
      <c r="J38" s="390" t="s">
        <v>366</v>
      </c>
      <c r="K38" s="390" t="s">
        <v>229</v>
      </c>
      <c r="L38" s="416" t="s">
        <v>134</v>
      </c>
      <c r="M38" s="501">
        <v>11468</v>
      </c>
      <c r="N38" s="501">
        <v>20000</v>
      </c>
      <c r="O38" s="505">
        <v>0</v>
      </c>
      <c r="P38" s="505">
        <f>P37/2</f>
        <v>1250</v>
      </c>
      <c r="Q38" s="505">
        <f t="shared" ref="Q38:T38" si="9">Q37/2</f>
        <v>2500</v>
      </c>
      <c r="R38" s="505">
        <f t="shared" si="9"/>
        <v>4750</v>
      </c>
      <c r="S38" s="505">
        <f t="shared" si="9"/>
        <v>1500</v>
      </c>
      <c r="T38" s="505">
        <f t="shared" si="9"/>
        <v>0</v>
      </c>
      <c r="U38" s="502"/>
      <c r="V38" s="502"/>
      <c r="W38" s="603"/>
      <c r="X38" s="597"/>
      <c r="Y38" s="602"/>
      <c r="Z38" s="654">
        <f t="shared" si="6"/>
        <v>1250</v>
      </c>
      <c r="AA38" s="617"/>
      <c r="AB38" s="407"/>
      <c r="AC38" s="397"/>
      <c r="AD38" s="654">
        <f t="shared" si="3"/>
        <v>1250</v>
      </c>
      <c r="AE38" s="617"/>
      <c r="AF38" s="400"/>
      <c r="AG38" s="397"/>
      <c r="AI38" s="611"/>
      <c r="AJ38" s="612"/>
      <c r="AK38" s="613"/>
    </row>
    <row r="39" spans="1:37" ht="84" customHeight="1">
      <c r="A39" s="496"/>
      <c r="B39" s="497" t="s">
        <v>487</v>
      </c>
      <c r="C39" s="497" t="s">
        <v>514</v>
      </c>
      <c r="D39" s="660" t="s">
        <v>672</v>
      </c>
      <c r="E39" s="529" t="s">
        <v>629</v>
      </c>
      <c r="F39" s="667"/>
      <c r="G39" s="504"/>
      <c r="H39" s="499"/>
      <c r="I39" s="504"/>
      <c r="J39" s="390" t="s">
        <v>366</v>
      </c>
      <c r="K39" s="390" t="s">
        <v>229</v>
      </c>
      <c r="L39" s="416" t="s">
        <v>435</v>
      </c>
      <c r="M39" s="501">
        <v>11468</v>
      </c>
      <c r="N39" s="501">
        <v>20000</v>
      </c>
      <c r="O39" s="505">
        <v>0</v>
      </c>
      <c r="P39" s="505">
        <f>P37/2</f>
        <v>1250</v>
      </c>
      <c r="Q39" s="505">
        <f t="shared" ref="Q39:T39" si="10">Q37/2</f>
        <v>2500</v>
      </c>
      <c r="R39" s="505">
        <f t="shared" si="10"/>
        <v>4750</v>
      </c>
      <c r="S39" s="505">
        <f t="shared" si="10"/>
        <v>1500</v>
      </c>
      <c r="T39" s="505">
        <f t="shared" si="10"/>
        <v>0</v>
      </c>
      <c r="U39" s="502"/>
      <c r="V39" s="502"/>
      <c r="W39" s="603"/>
      <c r="X39" s="597"/>
      <c r="Y39" s="602"/>
      <c r="Z39" s="654">
        <f t="shared" si="6"/>
        <v>1250</v>
      </c>
      <c r="AA39" s="617"/>
      <c r="AB39" s="407"/>
      <c r="AC39" s="397"/>
      <c r="AD39" s="654">
        <f t="shared" si="3"/>
        <v>1250</v>
      </c>
      <c r="AE39" s="617"/>
      <c r="AF39" s="400"/>
      <c r="AG39" s="397"/>
      <c r="AI39" s="611"/>
      <c r="AJ39" s="612"/>
      <c r="AK39" s="613"/>
    </row>
    <row r="40" spans="1:37" s="572" customFormat="1" ht="33" customHeight="1">
      <c r="A40" s="559"/>
      <c r="B40" s="560" t="s">
        <v>388</v>
      </c>
      <c r="C40" s="560"/>
      <c r="D40" s="560"/>
      <c r="E40" s="561" t="s">
        <v>398</v>
      </c>
      <c r="F40" s="562"/>
      <c r="G40" s="563"/>
      <c r="H40" s="564"/>
      <c r="I40" s="563"/>
      <c r="J40" s="565"/>
      <c r="K40" s="565"/>
      <c r="L40" s="566"/>
      <c r="M40" s="567"/>
      <c r="N40" s="568"/>
      <c r="O40" s="614"/>
      <c r="P40" s="614"/>
      <c r="Q40" s="614"/>
      <c r="R40" s="614"/>
      <c r="S40" s="614"/>
      <c r="T40" s="614"/>
      <c r="U40" s="615"/>
      <c r="V40" s="569">
        <f>'DMF PI Links Physical Prog.S1'!Q40</f>
        <v>20</v>
      </c>
      <c r="W40" s="662"/>
      <c r="X40" s="569">
        <f>'3. DMF Progress'!AF25</f>
        <v>2.0031597222222222</v>
      </c>
      <c r="Y40" s="569">
        <f>'3. DMF Progress'!F25</f>
        <v>2.9565000000000001</v>
      </c>
      <c r="Z40" s="627"/>
      <c r="AA40" s="569">
        <f>'3. DMF Progress'!AI25</f>
        <v>3.0298753654970758</v>
      </c>
      <c r="AB40" s="569">
        <f>'3. DMF Progress'!AJ25</f>
        <v>6.9481114766081875</v>
      </c>
      <c r="AC40" s="562"/>
      <c r="AD40" s="627"/>
      <c r="AE40" s="628"/>
      <c r="AF40" s="630"/>
      <c r="AG40" s="562"/>
      <c r="AI40" s="611"/>
      <c r="AJ40" s="689">
        <f>X40+AA40+AE40</f>
        <v>5.0330350877192984</v>
      </c>
      <c r="AK40" s="689">
        <f>Y40+AB40+AF40</f>
        <v>9.9046114766081885</v>
      </c>
    </row>
    <row r="41" spans="1:37" ht="169.5" customHeight="1">
      <c r="A41" s="496">
        <v>10</v>
      </c>
      <c r="B41" s="497" t="s">
        <v>399</v>
      </c>
      <c r="C41" s="497" t="s">
        <v>419</v>
      </c>
      <c r="D41" s="497"/>
      <c r="E41" s="531" t="s">
        <v>400</v>
      </c>
      <c r="F41" s="668" t="s">
        <v>679</v>
      </c>
      <c r="G41" s="504" t="s">
        <v>522</v>
      </c>
      <c r="H41" s="499" t="s">
        <v>660</v>
      </c>
      <c r="I41" s="504"/>
      <c r="J41" s="390" t="s">
        <v>366</v>
      </c>
      <c r="K41" s="390" t="s">
        <v>229</v>
      </c>
      <c r="L41" s="416" t="s">
        <v>100</v>
      </c>
      <c r="M41" s="505">
        <v>0</v>
      </c>
      <c r="N41" s="641">
        <f>SUM(N42:N43)</f>
        <v>3</v>
      </c>
      <c r="O41" s="640">
        <f t="shared" ref="O41:T41" si="11">SUM(O42:O43)</f>
        <v>0</v>
      </c>
      <c r="P41" s="640">
        <f>SUM(P42:P43)</f>
        <v>0</v>
      </c>
      <c r="Q41" s="640">
        <f t="shared" si="11"/>
        <v>0</v>
      </c>
      <c r="R41" s="640">
        <f t="shared" si="11"/>
        <v>3</v>
      </c>
      <c r="S41" s="640">
        <f t="shared" si="11"/>
        <v>0</v>
      </c>
      <c r="T41" s="640">
        <f t="shared" si="11"/>
        <v>0</v>
      </c>
      <c r="U41" s="502"/>
      <c r="V41" s="502">
        <f>'DMF PI Links Physical Prog.S1'!Q41</f>
        <v>5</v>
      </c>
      <c r="W41" s="603"/>
      <c r="X41" s="597">
        <f>'3. DMF Progress'!E19</f>
        <v>6.25</v>
      </c>
      <c r="Y41" s="602">
        <f>'3. DMF Progress'!F19</f>
        <v>0.3125</v>
      </c>
      <c r="Z41" s="654">
        <f t="shared" ref="Z41:Z49" si="12">Q41/2</f>
        <v>0</v>
      </c>
      <c r="AA41" s="617">
        <f>'3. DMF Progress'!P19</f>
        <v>7.1304166666666671</v>
      </c>
      <c r="AB41" s="740">
        <f>'3. DMF Progress'!AJ19</f>
        <v>0.51693750000000005</v>
      </c>
      <c r="AC41" s="397" t="s">
        <v>883</v>
      </c>
      <c r="AD41" s="654">
        <f t="shared" ref="AD41:AD53" si="13">Q41/2</f>
        <v>0</v>
      </c>
      <c r="AE41" s="617"/>
      <c r="AF41" s="400" t="e">
        <f t="shared" si="0"/>
        <v>#DIV/0!</v>
      </c>
      <c r="AG41" s="397"/>
      <c r="AI41" s="611">
        <f>W41+Z41+AD41</f>
        <v>0</v>
      </c>
      <c r="AJ41" s="612">
        <f>X41+AA41+AE41</f>
        <v>13.380416666666667</v>
      </c>
      <c r="AK41" s="688" t="e">
        <f>Y41+AB41+AF41</f>
        <v>#DIV/0!</v>
      </c>
    </row>
    <row r="42" spans="1:37" ht="45" customHeight="1">
      <c r="A42" s="496"/>
      <c r="B42" s="497" t="s">
        <v>488</v>
      </c>
      <c r="C42" s="497"/>
      <c r="D42" s="497"/>
      <c r="E42" s="529" t="s">
        <v>631</v>
      </c>
      <c r="F42" s="667"/>
      <c r="G42" s="504"/>
      <c r="H42" s="499"/>
      <c r="I42" s="504"/>
      <c r="J42" s="390" t="s">
        <v>366</v>
      </c>
      <c r="K42" s="390" t="s">
        <v>229</v>
      </c>
      <c r="L42" s="416" t="s">
        <v>100</v>
      </c>
      <c r="M42" s="505">
        <v>0</v>
      </c>
      <c r="N42" s="501">
        <v>2</v>
      </c>
      <c r="O42" s="505">
        <v>0</v>
      </c>
      <c r="P42" s="505">
        <v>0</v>
      </c>
      <c r="Q42" s="505">
        <v>0</v>
      </c>
      <c r="R42" s="505">
        <v>2</v>
      </c>
      <c r="S42" s="505">
        <v>0</v>
      </c>
      <c r="T42" s="505">
        <v>0</v>
      </c>
      <c r="U42" s="502"/>
      <c r="V42" s="502"/>
      <c r="W42" s="603"/>
      <c r="X42" s="597"/>
      <c r="Y42" s="602"/>
      <c r="Z42" s="654">
        <f t="shared" si="12"/>
        <v>0</v>
      </c>
      <c r="AA42" s="617"/>
      <c r="AB42" s="740">
        <f>'Output 2 '!BP9</f>
        <v>0</v>
      </c>
      <c r="AC42" s="397"/>
      <c r="AD42" s="654">
        <f t="shared" si="13"/>
        <v>0</v>
      </c>
      <c r="AE42" s="617"/>
      <c r="AF42" s="400"/>
      <c r="AG42" s="397"/>
      <c r="AI42" s="611"/>
      <c r="AJ42" s="612"/>
      <c r="AK42" s="613"/>
    </row>
    <row r="43" spans="1:37" ht="43.5" customHeight="1">
      <c r="A43" s="496"/>
      <c r="B43" s="497" t="s">
        <v>489</v>
      </c>
      <c r="C43" s="497"/>
      <c r="D43" s="497"/>
      <c r="E43" s="529" t="s">
        <v>632</v>
      </c>
      <c r="F43" s="667"/>
      <c r="G43" s="504"/>
      <c r="H43" s="499"/>
      <c r="I43" s="504"/>
      <c r="J43" s="390" t="s">
        <v>366</v>
      </c>
      <c r="K43" s="390" t="s">
        <v>229</v>
      </c>
      <c r="L43" s="416" t="s">
        <v>100</v>
      </c>
      <c r="M43" s="505">
        <v>0</v>
      </c>
      <c r="N43" s="501">
        <v>1</v>
      </c>
      <c r="O43" s="505">
        <v>0</v>
      </c>
      <c r="P43" s="505">
        <v>0</v>
      </c>
      <c r="Q43" s="505">
        <v>0</v>
      </c>
      <c r="R43" s="505">
        <v>1</v>
      </c>
      <c r="S43" s="505">
        <v>0</v>
      </c>
      <c r="T43" s="505">
        <v>0</v>
      </c>
      <c r="U43" s="502"/>
      <c r="V43" s="502"/>
      <c r="W43" s="603"/>
      <c r="X43" s="597"/>
      <c r="Y43" s="602"/>
      <c r="Z43" s="654">
        <f t="shared" si="12"/>
        <v>0</v>
      </c>
      <c r="AA43" s="617"/>
      <c r="AB43" s="740">
        <f>'Output 2 '!BP10</f>
        <v>0</v>
      </c>
      <c r="AC43" s="397"/>
      <c r="AD43" s="654">
        <f t="shared" si="13"/>
        <v>0</v>
      </c>
      <c r="AE43" s="617"/>
      <c r="AF43" s="400"/>
      <c r="AG43" s="397"/>
      <c r="AI43" s="611"/>
      <c r="AJ43" s="612"/>
      <c r="AK43" s="613"/>
    </row>
    <row r="44" spans="1:37" ht="113.25" customHeight="1">
      <c r="A44" s="496">
        <v>11</v>
      </c>
      <c r="B44" s="497" t="s">
        <v>403</v>
      </c>
      <c r="C44" s="497" t="s">
        <v>420</v>
      </c>
      <c r="D44" s="497"/>
      <c r="E44" s="528" t="s">
        <v>401</v>
      </c>
      <c r="F44" s="668" t="s">
        <v>679</v>
      </c>
      <c r="G44" s="504" t="s">
        <v>523</v>
      </c>
      <c r="H44" s="499" t="s">
        <v>660</v>
      </c>
      <c r="I44" s="504"/>
      <c r="J44" s="390" t="s">
        <v>366</v>
      </c>
      <c r="K44" s="390" t="s">
        <v>229</v>
      </c>
      <c r="L44" s="416"/>
      <c r="M44" s="500" t="s">
        <v>515</v>
      </c>
      <c r="N44" s="501">
        <f>SUM(N45:N46)</f>
        <v>40000</v>
      </c>
      <c r="O44" s="505">
        <v>0</v>
      </c>
      <c r="P44" s="505">
        <v>2500</v>
      </c>
      <c r="Q44" s="505">
        <v>10000</v>
      </c>
      <c r="R44" s="505">
        <v>9500</v>
      </c>
      <c r="S44" s="505">
        <v>9000</v>
      </c>
      <c r="T44" s="505">
        <v>9000</v>
      </c>
      <c r="U44" s="502"/>
      <c r="V44" s="502">
        <f>'DMF PI Links Physical Prog.S1'!Q44</f>
        <v>5</v>
      </c>
      <c r="W44" s="603"/>
      <c r="X44" s="597">
        <f>'3. DMF Progress'!E20</f>
        <v>16.98</v>
      </c>
      <c r="Y44" s="602">
        <f>'3. DMF Progress'!F20</f>
        <v>0.84900000000000009</v>
      </c>
      <c r="Z44" s="654">
        <f t="shared" si="12"/>
        <v>5000</v>
      </c>
      <c r="AA44" s="617">
        <f>'3. DMF Progress'!P20</f>
        <v>15.195701754385963</v>
      </c>
      <c r="AB44" s="740">
        <f>'3. DMF Progress'!AJ20</f>
        <v>0.90511842105263163</v>
      </c>
      <c r="AC44" s="397" t="s">
        <v>884</v>
      </c>
      <c r="AD44" s="654">
        <f t="shared" si="13"/>
        <v>5000</v>
      </c>
      <c r="AE44" s="617"/>
      <c r="AF44" s="400">
        <f t="shared" si="0"/>
        <v>0</v>
      </c>
      <c r="AG44" s="397"/>
      <c r="AI44" s="611">
        <f>W44+Z44+AD44</f>
        <v>10000</v>
      </c>
      <c r="AJ44" s="612">
        <f>X44+AA44+AE44</f>
        <v>32.175701754385962</v>
      </c>
      <c r="AK44" s="688">
        <f>Y44+AB44+AF44</f>
        <v>1.7541184210526317</v>
      </c>
    </row>
    <row r="45" spans="1:37" ht="39.75" customHeight="1">
      <c r="A45" s="496"/>
      <c r="B45" s="497" t="s">
        <v>490</v>
      </c>
      <c r="C45" s="497"/>
      <c r="D45" s="497"/>
      <c r="E45" s="529" t="s">
        <v>618</v>
      </c>
      <c r="F45" s="667"/>
      <c r="G45" s="504"/>
      <c r="H45" s="499"/>
      <c r="I45" s="504"/>
      <c r="J45" s="390"/>
      <c r="K45" s="390"/>
      <c r="L45" s="416" t="s">
        <v>134</v>
      </c>
      <c r="M45" s="500" t="s">
        <v>515</v>
      </c>
      <c r="N45" s="501">
        <v>20000</v>
      </c>
      <c r="O45" s="505">
        <v>0</v>
      </c>
      <c r="P45" s="505">
        <v>501</v>
      </c>
      <c r="Q45" s="505">
        <f t="shared" ref="Q45" si="14">Q44/2</f>
        <v>5000</v>
      </c>
      <c r="R45" s="505">
        <v>5000</v>
      </c>
      <c r="S45" s="505">
        <v>5000</v>
      </c>
      <c r="T45" s="505">
        <f>(T44/2)-1</f>
        <v>4499</v>
      </c>
      <c r="U45" s="502"/>
      <c r="V45" s="502"/>
      <c r="W45" s="603"/>
      <c r="X45" s="597"/>
      <c r="Y45" s="602"/>
      <c r="Z45" s="654">
        <f t="shared" si="12"/>
        <v>2500</v>
      </c>
      <c r="AA45" s="617"/>
      <c r="AB45" s="740">
        <f>'Output 2 '!BP26</f>
        <v>0.72291666666666665</v>
      </c>
      <c r="AC45" s="397" t="s">
        <v>885</v>
      </c>
      <c r="AD45" s="654">
        <f t="shared" si="13"/>
        <v>2500</v>
      </c>
      <c r="AE45" s="617"/>
      <c r="AF45" s="400"/>
      <c r="AG45" s="397"/>
      <c r="AI45" s="611"/>
      <c r="AJ45" s="612"/>
      <c r="AK45" s="613"/>
    </row>
    <row r="46" spans="1:37" ht="54.75" customHeight="1">
      <c r="A46" s="496"/>
      <c r="B46" s="497" t="s">
        <v>491</v>
      </c>
      <c r="C46" s="497"/>
      <c r="D46" s="660" t="s">
        <v>672</v>
      </c>
      <c r="E46" s="529" t="s">
        <v>619</v>
      </c>
      <c r="F46" s="667"/>
      <c r="G46" s="504"/>
      <c r="H46" s="499"/>
      <c r="I46" s="504"/>
      <c r="J46" s="390"/>
      <c r="K46" s="390"/>
      <c r="L46" s="416" t="s">
        <v>134</v>
      </c>
      <c r="M46" s="500" t="s">
        <v>515</v>
      </c>
      <c r="N46" s="501">
        <v>20000</v>
      </c>
      <c r="O46" s="505">
        <v>0</v>
      </c>
      <c r="P46" s="505">
        <v>250</v>
      </c>
      <c r="Q46" s="505">
        <f>4000+(4000-250)/4</f>
        <v>4937.5</v>
      </c>
      <c r="R46" s="505">
        <f t="shared" ref="R46:T46" si="15">4000+(4000-250)/4</f>
        <v>4937.5</v>
      </c>
      <c r="S46" s="505">
        <f t="shared" si="15"/>
        <v>4937.5</v>
      </c>
      <c r="T46" s="505">
        <f t="shared" si="15"/>
        <v>4937.5</v>
      </c>
      <c r="U46" s="502"/>
      <c r="V46" s="502"/>
      <c r="W46" s="603"/>
      <c r="X46" s="597"/>
      <c r="Y46" s="602"/>
      <c r="Z46" s="654">
        <f t="shared" si="12"/>
        <v>2468.75</v>
      </c>
      <c r="AA46" s="617"/>
      <c r="AB46" s="407"/>
      <c r="AC46" s="397" t="s">
        <v>886</v>
      </c>
      <c r="AD46" s="654">
        <f t="shared" si="13"/>
        <v>2468.75</v>
      </c>
      <c r="AE46" s="617"/>
      <c r="AF46" s="400"/>
      <c r="AG46" s="397"/>
      <c r="AI46" s="611"/>
      <c r="AJ46" s="612"/>
      <c r="AK46" s="613"/>
    </row>
    <row r="47" spans="1:37" ht="69" customHeight="1">
      <c r="A47" s="496"/>
      <c r="B47" s="497" t="s">
        <v>492</v>
      </c>
      <c r="C47" s="497"/>
      <c r="D47" s="497"/>
      <c r="E47" s="529" t="s">
        <v>620</v>
      </c>
      <c r="F47" s="667"/>
      <c r="G47" s="504"/>
      <c r="H47" s="499"/>
      <c r="I47" s="504"/>
      <c r="J47" s="390"/>
      <c r="K47" s="390"/>
      <c r="L47" s="416" t="s">
        <v>134</v>
      </c>
      <c r="M47" s="505">
        <v>0</v>
      </c>
      <c r="N47" s="501">
        <f>50%*(N46+N45)</f>
        <v>20000</v>
      </c>
      <c r="O47" s="505">
        <v>0</v>
      </c>
      <c r="P47" s="505">
        <v>875</v>
      </c>
      <c r="Q47" s="505">
        <f>4000+(4000-$P$47)/4</f>
        <v>4781.25</v>
      </c>
      <c r="R47" s="505">
        <f t="shared" ref="R47:T47" si="16">4000+(4000-$P$47)/4</f>
        <v>4781.25</v>
      </c>
      <c r="S47" s="505">
        <f t="shared" si="16"/>
        <v>4781.25</v>
      </c>
      <c r="T47" s="505">
        <f t="shared" si="16"/>
        <v>4781.25</v>
      </c>
      <c r="U47" s="502"/>
      <c r="V47" s="502"/>
      <c r="W47" s="603"/>
      <c r="X47" s="597"/>
      <c r="Y47" s="602"/>
      <c r="Z47" s="654">
        <f t="shared" si="12"/>
        <v>2390.625</v>
      </c>
      <c r="AA47" s="617"/>
      <c r="AB47" s="740">
        <f>'Output 2 '!BP27</f>
        <v>0.1</v>
      </c>
      <c r="AC47" s="397" t="s">
        <v>886</v>
      </c>
      <c r="AD47" s="654">
        <f t="shared" si="13"/>
        <v>2390.625</v>
      </c>
      <c r="AE47" s="617"/>
      <c r="AF47" s="400"/>
      <c r="AG47" s="397"/>
      <c r="AI47" s="611"/>
      <c r="AJ47" s="612"/>
      <c r="AK47" s="613"/>
    </row>
    <row r="48" spans="1:37" ht="51" customHeight="1">
      <c r="A48" s="496"/>
      <c r="B48" s="497"/>
      <c r="C48" s="497"/>
      <c r="D48" s="633" t="s">
        <v>676</v>
      </c>
      <c r="E48" s="529" t="s">
        <v>667</v>
      </c>
      <c r="F48" s="667"/>
      <c r="G48" s="504"/>
      <c r="H48" s="499"/>
      <c r="I48" s="504"/>
      <c r="J48" s="390"/>
      <c r="K48" s="390"/>
      <c r="L48" s="416"/>
      <c r="M48" s="500" t="s">
        <v>515</v>
      </c>
      <c r="N48" s="501">
        <v>500</v>
      </c>
      <c r="O48" s="505">
        <v>0</v>
      </c>
      <c r="P48" s="505">
        <v>250</v>
      </c>
      <c r="Q48" s="505">
        <v>250</v>
      </c>
      <c r="R48" s="505">
        <v>0</v>
      </c>
      <c r="S48" s="505">
        <v>0</v>
      </c>
      <c r="T48" s="505">
        <v>0</v>
      </c>
      <c r="U48" s="502"/>
      <c r="V48" s="502"/>
      <c r="W48" s="603"/>
      <c r="X48" s="597"/>
      <c r="Y48" s="602"/>
      <c r="Z48" s="654">
        <f t="shared" si="12"/>
        <v>125</v>
      </c>
      <c r="AA48" s="617"/>
      <c r="AB48" s="740">
        <f>'Output 2 '!BP25</f>
        <v>0.69</v>
      </c>
      <c r="AC48" s="397" t="s">
        <v>886</v>
      </c>
      <c r="AD48" s="654">
        <f t="shared" si="13"/>
        <v>125</v>
      </c>
      <c r="AE48" s="617"/>
      <c r="AF48" s="400"/>
      <c r="AG48" s="397"/>
      <c r="AI48" s="611"/>
      <c r="AJ48" s="612"/>
      <c r="AK48" s="613"/>
    </row>
    <row r="49" spans="1:37" ht="51" customHeight="1">
      <c r="A49" s="496"/>
      <c r="B49" s="497"/>
      <c r="C49" s="497"/>
      <c r="D49" s="633" t="s">
        <v>676</v>
      </c>
      <c r="E49" s="529" t="s">
        <v>699</v>
      </c>
      <c r="F49" s="667"/>
      <c r="G49" s="504"/>
      <c r="H49" s="499"/>
      <c r="I49" s="504"/>
      <c r="J49" s="390"/>
      <c r="K49" s="390"/>
      <c r="L49" s="416"/>
      <c r="M49" s="500" t="s">
        <v>515</v>
      </c>
      <c r="N49" s="501">
        <f>20%*N44</f>
        <v>8000</v>
      </c>
      <c r="O49" s="505">
        <v>0</v>
      </c>
      <c r="P49" s="505">
        <v>496</v>
      </c>
      <c r="Q49" s="505">
        <f>2000+(2000-$P$49)/4</f>
        <v>2376</v>
      </c>
      <c r="R49" s="505">
        <v>2000</v>
      </c>
      <c r="S49" s="505">
        <v>2000</v>
      </c>
      <c r="T49" s="505">
        <f>2000-872</f>
        <v>1128</v>
      </c>
      <c r="U49" s="502"/>
      <c r="V49" s="502"/>
      <c r="W49" s="603"/>
      <c r="X49" s="597"/>
      <c r="Y49" s="602"/>
      <c r="Z49" s="654">
        <f t="shared" si="12"/>
        <v>1188</v>
      </c>
      <c r="AA49" s="617"/>
      <c r="AB49" s="740">
        <f>'Output 2 '!BP28</f>
        <v>0.19736842105263158</v>
      </c>
      <c r="AC49" s="397" t="s">
        <v>886</v>
      </c>
      <c r="AD49" s="654">
        <f t="shared" si="13"/>
        <v>1188</v>
      </c>
      <c r="AE49" s="617"/>
      <c r="AF49" s="400"/>
      <c r="AG49" s="397"/>
      <c r="AI49" s="611"/>
      <c r="AJ49" s="612"/>
      <c r="AK49" s="613"/>
    </row>
    <row r="50" spans="1:37" ht="104.25" customHeight="1">
      <c r="A50" s="496">
        <v>12</v>
      </c>
      <c r="B50" s="497" t="s">
        <v>404</v>
      </c>
      <c r="C50" s="497" t="s">
        <v>442</v>
      </c>
      <c r="D50" s="497"/>
      <c r="E50" s="528" t="s">
        <v>678</v>
      </c>
      <c r="F50" s="668" t="s">
        <v>679</v>
      </c>
      <c r="G50" s="504" t="s">
        <v>524</v>
      </c>
      <c r="H50" s="499" t="s">
        <v>660</v>
      </c>
      <c r="I50" s="504"/>
      <c r="J50" s="390" t="s">
        <v>366</v>
      </c>
      <c r="K50" s="390" t="s">
        <v>229</v>
      </c>
      <c r="L50" s="416" t="s">
        <v>188</v>
      </c>
      <c r="M50" s="505">
        <v>0</v>
      </c>
      <c r="N50" s="501"/>
      <c r="O50" s="640"/>
      <c r="P50" s="640"/>
      <c r="Q50" s="640"/>
      <c r="R50" s="640"/>
      <c r="S50" s="640"/>
      <c r="T50" s="640"/>
      <c r="U50" s="502"/>
      <c r="V50" s="502"/>
      <c r="W50" s="603"/>
      <c r="X50" s="597"/>
      <c r="Y50" s="602"/>
      <c r="Z50" s="654"/>
      <c r="AA50" s="617"/>
      <c r="AB50" s="740">
        <f>SUM(AB51:AB52)/2</f>
        <v>1.5950277777777777</v>
      </c>
      <c r="AC50" s="397" t="s">
        <v>884</v>
      </c>
      <c r="AD50" s="654">
        <f t="shared" si="13"/>
        <v>0</v>
      </c>
      <c r="AE50" s="617"/>
      <c r="AF50" s="400" t="e">
        <f t="shared" si="0"/>
        <v>#DIV/0!</v>
      </c>
      <c r="AG50" s="397"/>
      <c r="AI50" s="611"/>
      <c r="AJ50" s="612"/>
      <c r="AK50" s="613"/>
    </row>
    <row r="51" spans="1:37" ht="171.75" customHeight="1">
      <c r="A51" s="496"/>
      <c r="B51" s="497" t="s">
        <v>493</v>
      </c>
      <c r="C51" s="497" t="s">
        <v>685</v>
      </c>
      <c r="D51" s="497"/>
      <c r="E51" s="529" t="s">
        <v>680</v>
      </c>
      <c r="F51" s="667"/>
      <c r="G51" s="504" t="s">
        <v>681</v>
      </c>
      <c r="H51" s="499"/>
      <c r="I51" s="504"/>
      <c r="J51" s="390" t="s">
        <v>366</v>
      </c>
      <c r="K51" s="390" t="s">
        <v>229</v>
      </c>
      <c r="L51" s="416" t="s">
        <v>188</v>
      </c>
      <c r="M51" s="505">
        <v>0</v>
      </c>
      <c r="N51" s="501">
        <v>27</v>
      </c>
      <c r="O51" s="505">
        <v>0</v>
      </c>
      <c r="P51" s="505">
        <v>10</v>
      </c>
      <c r="Q51" s="505">
        <v>8</v>
      </c>
      <c r="R51" s="505">
        <v>9</v>
      </c>
      <c r="S51" s="505">
        <v>0</v>
      </c>
      <c r="T51" s="505">
        <v>0</v>
      </c>
      <c r="U51" s="502"/>
      <c r="V51" s="502">
        <f>'DMF PI Links Physical Prog.S1'!Q51</f>
        <v>3</v>
      </c>
      <c r="W51" s="603"/>
      <c r="X51" s="597">
        <f>'3. DMF Progress'!E21</f>
        <v>12.1</v>
      </c>
      <c r="Y51" s="602">
        <f>'3. DMF Progress'!F21</f>
        <v>0.36299999999999999</v>
      </c>
      <c r="Z51" s="654">
        <f>Q51/2</f>
        <v>4</v>
      </c>
      <c r="AA51" s="617">
        <f>'3. DMF Progress'!P21</f>
        <v>26.154938271604941</v>
      </c>
      <c r="AB51" s="740">
        <f>'3. DMF Progress'!AJ21</f>
        <v>1.9150555555555557</v>
      </c>
      <c r="AC51" s="397" t="s">
        <v>887</v>
      </c>
      <c r="AD51" s="654">
        <f t="shared" si="13"/>
        <v>4</v>
      </c>
      <c r="AE51" s="617"/>
      <c r="AF51" s="400"/>
      <c r="AG51" s="397"/>
      <c r="AI51" s="611">
        <f t="shared" ref="AI51:AK52" si="17">W51+Z51+AD51</f>
        <v>8</v>
      </c>
      <c r="AJ51" s="612">
        <f t="shared" si="17"/>
        <v>38.254938271604942</v>
      </c>
      <c r="AK51" s="688">
        <f t="shared" si="17"/>
        <v>2.2780555555555555</v>
      </c>
    </row>
    <row r="52" spans="1:37" ht="81" customHeight="1">
      <c r="A52" s="496"/>
      <c r="B52" s="497" t="s">
        <v>494</v>
      </c>
      <c r="C52" s="497" t="s">
        <v>686</v>
      </c>
      <c r="D52" s="497"/>
      <c r="E52" s="529" t="s">
        <v>621</v>
      </c>
      <c r="F52" s="667"/>
      <c r="G52" s="504"/>
      <c r="H52" s="499"/>
      <c r="I52" s="504"/>
      <c r="J52" s="390" t="s">
        <v>366</v>
      </c>
      <c r="K52" s="390" t="s">
        <v>229</v>
      </c>
      <c r="L52" s="416" t="s">
        <v>134</v>
      </c>
      <c r="M52" s="505">
        <v>0</v>
      </c>
      <c r="N52" s="501">
        <v>500</v>
      </c>
      <c r="O52" s="505">
        <v>0</v>
      </c>
      <c r="P52" s="505">
        <v>100</v>
      </c>
      <c r="Q52" s="505">
        <v>100</v>
      </c>
      <c r="R52" s="505">
        <v>100</v>
      </c>
      <c r="S52" s="505">
        <v>100</v>
      </c>
      <c r="T52" s="505">
        <v>100</v>
      </c>
      <c r="U52" s="502"/>
      <c r="V52" s="502">
        <f>'DMF PI Links Physical Prog.S1'!Q52</f>
        <v>3</v>
      </c>
      <c r="W52" s="603"/>
      <c r="X52" s="597">
        <f>'3. DMF Progress'!E22</f>
        <v>10</v>
      </c>
      <c r="Y52" s="602">
        <f>'3. DMF Progress'!F22</f>
        <v>0.3</v>
      </c>
      <c r="Z52" s="654">
        <f>Q52/2</f>
        <v>50</v>
      </c>
      <c r="AA52" s="617">
        <f>'3. DMF Progress'!P22</f>
        <v>16.5</v>
      </c>
      <c r="AB52" s="740">
        <f>'3. DMF Progress'!AJ22</f>
        <v>1.2749999999999999</v>
      </c>
      <c r="AC52" s="397" t="s">
        <v>888</v>
      </c>
      <c r="AD52" s="654">
        <f t="shared" si="13"/>
        <v>50</v>
      </c>
      <c r="AE52" s="617"/>
      <c r="AF52" s="400"/>
      <c r="AG52" s="397"/>
      <c r="AI52" s="611">
        <f t="shared" si="17"/>
        <v>100</v>
      </c>
      <c r="AJ52" s="612">
        <f t="shared" si="17"/>
        <v>26.5</v>
      </c>
      <c r="AK52" s="688">
        <f t="shared" si="17"/>
        <v>1.575</v>
      </c>
    </row>
    <row r="53" spans="1:37" ht="103.5" customHeight="1">
      <c r="A53" s="496">
        <v>13</v>
      </c>
      <c r="B53" s="497" t="s">
        <v>405</v>
      </c>
      <c r="C53" s="497" t="s">
        <v>443</v>
      </c>
      <c r="D53" s="497"/>
      <c r="E53" s="528" t="s">
        <v>682</v>
      </c>
      <c r="F53" s="668" t="s">
        <v>679</v>
      </c>
      <c r="G53" s="504" t="s">
        <v>525</v>
      </c>
      <c r="H53" s="499" t="s">
        <v>660</v>
      </c>
      <c r="I53" s="504"/>
      <c r="J53" s="390" t="s">
        <v>366</v>
      </c>
      <c r="K53" s="390" t="s">
        <v>229</v>
      </c>
      <c r="L53" s="416"/>
      <c r="M53" s="505">
        <v>0</v>
      </c>
      <c r="N53" s="501">
        <f>SUM(N54:N55)</f>
        <v>8</v>
      </c>
      <c r="O53" s="505"/>
      <c r="P53" s="640">
        <f>SUM(P54:P55)</f>
        <v>6</v>
      </c>
      <c r="Q53" s="640">
        <f>P53</f>
        <v>6</v>
      </c>
      <c r="R53" s="640">
        <f t="shared" ref="R53:T53" si="18">SUM(R54:R55)</f>
        <v>2</v>
      </c>
      <c r="S53" s="640">
        <f t="shared" si="18"/>
        <v>0</v>
      </c>
      <c r="T53" s="640">
        <f t="shared" si="18"/>
        <v>0</v>
      </c>
      <c r="U53" s="502"/>
      <c r="V53" s="502"/>
      <c r="W53" s="603"/>
      <c r="X53" s="597"/>
      <c r="Y53" s="602"/>
      <c r="Z53" s="654">
        <f>Q53/2</f>
        <v>3</v>
      </c>
      <c r="AA53" s="646">
        <f>Z53*AB53</f>
        <v>3.5040000000000004</v>
      </c>
      <c r="AB53" s="740">
        <f>SUM(AB54:AB55)/2</f>
        <v>1.1680000000000001</v>
      </c>
      <c r="AC53" s="397" t="s">
        <v>889</v>
      </c>
      <c r="AD53" s="654">
        <f t="shared" si="13"/>
        <v>3</v>
      </c>
      <c r="AE53" s="617"/>
      <c r="AF53" s="400">
        <f t="shared" si="0"/>
        <v>0</v>
      </c>
      <c r="AG53" s="397"/>
      <c r="AI53" s="611"/>
      <c r="AJ53" s="612"/>
      <c r="AK53" s="613"/>
    </row>
    <row r="54" spans="1:37" ht="83.25" customHeight="1">
      <c r="A54" s="496"/>
      <c r="B54" s="497" t="s">
        <v>495</v>
      </c>
      <c r="C54" s="497" t="s">
        <v>687</v>
      </c>
      <c r="D54" s="497"/>
      <c r="E54" s="529" t="s">
        <v>626</v>
      </c>
      <c r="F54" s="667"/>
      <c r="G54" s="504"/>
      <c r="H54" s="499"/>
      <c r="I54" s="504"/>
      <c r="J54" s="390" t="s">
        <v>366</v>
      </c>
      <c r="K54" s="390" t="s">
        <v>229</v>
      </c>
      <c r="L54" s="416" t="s">
        <v>463</v>
      </c>
      <c r="M54" s="505">
        <v>0</v>
      </c>
      <c r="N54" s="501">
        <v>4</v>
      </c>
      <c r="O54" s="505">
        <v>0</v>
      </c>
      <c r="P54" s="505">
        <v>3</v>
      </c>
      <c r="Q54" s="505"/>
      <c r="R54" s="505">
        <v>1</v>
      </c>
      <c r="S54" s="505"/>
      <c r="T54" s="505"/>
      <c r="U54" s="502"/>
      <c r="V54" s="502">
        <f>'DMF PI Links Physical Prog.S1'!Q54</f>
        <v>2</v>
      </c>
      <c r="W54" s="603"/>
      <c r="X54" s="597">
        <f>'3. DMF Progress'!E23</f>
        <v>26.3</v>
      </c>
      <c r="Y54" s="602">
        <f>'3. DMF Progress'!F23</f>
        <v>0.52600000000000002</v>
      </c>
      <c r="Z54" s="654">
        <f>P54/2</f>
        <v>1.5</v>
      </c>
      <c r="AA54" s="617">
        <f>'3. DMF Progress'!P23</f>
        <v>45.175000000000004</v>
      </c>
      <c r="AB54" s="740">
        <f>'3. DMF Progress'!AJ23</f>
        <v>1.1265000000000001</v>
      </c>
      <c r="AC54" s="397" t="s">
        <v>890</v>
      </c>
      <c r="AD54" s="654">
        <f>P54/2</f>
        <v>1.5</v>
      </c>
      <c r="AE54" s="617"/>
      <c r="AF54" s="400"/>
      <c r="AG54" s="397"/>
      <c r="AI54" s="611">
        <f t="shared" ref="AI54:AK55" si="19">W54+Z54+AD54</f>
        <v>3</v>
      </c>
      <c r="AJ54" s="612">
        <f t="shared" si="19"/>
        <v>71.475000000000009</v>
      </c>
      <c r="AK54" s="688">
        <f t="shared" si="19"/>
        <v>1.6525000000000001</v>
      </c>
    </row>
    <row r="55" spans="1:37" ht="84.75" customHeight="1">
      <c r="A55" s="496"/>
      <c r="B55" s="497" t="s">
        <v>496</v>
      </c>
      <c r="C55" s="497" t="s">
        <v>688</v>
      </c>
      <c r="D55" s="497"/>
      <c r="E55" s="529" t="s">
        <v>627</v>
      </c>
      <c r="F55" s="667"/>
      <c r="G55" s="504"/>
      <c r="H55" s="499"/>
      <c r="I55" s="504"/>
      <c r="J55" s="390" t="s">
        <v>366</v>
      </c>
      <c r="K55" s="390" t="s">
        <v>229</v>
      </c>
      <c r="L55" s="416" t="s">
        <v>464</v>
      </c>
      <c r="M55" s="505">
        <v>0</v>
      </c>
      <c r="N55" s="501">
        <v>4</v>
      </c>
      <c r="O55" s="505">
        <v>0</v>
      </c>
      <c r="P55" s="505">
        <v>3</v>
      </c>
      <c r="Q55" s="505"/>
      <c r="R55" s="505">
        <v>1</v>
      </c>
      <c r="S55" s="505"/>
      <c r="T55" s="505"/>
      <c r="U55" s="502"/>
      <c r="V55" s="502">
        <f>'DMF PI Links Physical Prog.S1'!Q55</f>
        <v>2</v>
      </c>
      <c r="W55" s="603"/>
      <c r="X55" s="597">
        <f>'3. DMF Progress'!E24</f>
        <v>30.3</v>
      </c>
      <c r="Y55" s="602">
        <f>'3. DMF Progress'!F24</f>
        <v>0.60599999999999998</v>
      </c>
      <c r="Z55" s="654">
        <f>P55/2</f>
        <v>1.5</v>
      </c>
      <c r="AA55" s="617">
        <f>'3. DMF Progress'!P24</f>
        <v>51.824999999999996</v>
      </c>
      <c r="AB55" s="740">
        <f>'3. DMF Progress'!AJ24</f>
        <v>1.2095</v>
      </c>
      <c r="AC55" s="397" t="s">
        <v>891</v>
      </c>
      <c r="AD55" s="654">
        <f>P55/2</f>
        <v>1.5</v>
      </c>
      <c r="AE55" s="617"/>
      <c r="AF55" s="400"/>
      <c r="AG55" s="397"/>
      <c r="AI55" s="611">
        <f t="shared" si="19"/>
        <v>3</v>
      </c>
      <c r="AJ55" s="612">
        <f t="shared" si="19"/>
        <v>82.125</v>
      </c>
      <c r="AK55" s="688">
        <f t="shared" si="19"/>
        <v>1.8155000000000001</v>
      </c>
    </row>
    <row r="56" spans="1:37" s="572" customFormat="1" ht="35.1" customHeight="1">
      <c r="A56" s="559"/>
      <c r="B56" s="560" t="s">
        <v>389</v>
      </c>
      <c r="C56" s="560"/>
      <c r="D56" s="560"/>
      <c r="E56" s="561" t="s">
        <v>402</v>
      </c>
      <c r="F56" s="562"/>
      <c r="G56" s="563"/>
      <c r="H56" s="564"/>
      <c r="I56" s="563"/>
      <c r="J56" s="565"/>
      <c r="K56" s="565"/>
      <c r="L56" s="566"/>
      <c r="M56" s="567"/>
      <c r="N56" s="568"/>
      <c r="O56" s="567"/>
      <c r="P56" s="567"/>
      <c r="Q56" s="567"/>
      <c r="R56" s="567"/>
      <c r="S56" s="567"/>
      <c r="T56" s="567"/>
      <c r="U56" s="569"/>
      <c r="V56" s="569">
        <f>'DMF PI Links Physical Prog.S1'!Q56</f>
        <v>15</v>
      </c>
      <c r="W56" s="662"/>
      <c r="X56" s="614"/>
      <c r="Y56" s="569">
        <f>'3. DMF Progress'!F34</f>
        <v>1.3950000000000002</v>
      </c>
      <c r="Z56" s="627"/>
      <c r="AA56" s="569">
        <f>'3. DMF Progress'!AI34</f>
        <v>1.8250000000000002</v>
      </c>
      <c r="AB56" s="702">
        <f>'3. DMF Progress'!AJ34</f>
        <v>1.9715000000000003</v>
      </c>
      <c r="AC56" s="562"/>
      <c r="AD56" s="627"/>
      <c r="AE56" s="684">
        <f>'3. DMF Progress'!AS34</f>
        <v>1.1166749999999999</v>
      </c>
      <c r="AF56" s="684">
        <f>'3. DMF Progress'!AT34</f>
        <v>2.529175</v>
      </c>
      <c r="AG56" s="562"/>
      <c r="AI56" s="611"/>
      <c r="AJ56" s="689">
        <f>X56+AA56+AE56</f>
        <v>2.941675</v>
      </c>
      <c r="AK56" s="689">
        <f>Y56+AB56+AF56</f>
        <v>5.8956750000000007</v>
      </c>
    </row>
    <row r="57" spans="1:37" ht="94.5" customHeight="1">
      <c r="A57" s="496">
        <v>14</v>
      </c>
      <c r="B57" s="497" t="s">
        <v>582</v>
      </c>
      <c r="C57" s="497" t="s">
        <v>444</v>
      </c>
      <c r="D57" s="497"/>
      <c r="E57" s="528" t="s">
        <v>421</v>
      </c>
      <c r="F57" s="668" t="s">
        <v>679</v>
      </c>
      <c r="G57" s="504" t="s">
        <v>526</v>
      </c>
      <c r="H57" s="499" t="s">
        <v>660</v>
      </c>
      <c r="I57" s="504"/>
      <c r="J57" s="390" t="s">
        <v>366</v>
      </c>
      <c r="K57" s="390" t="s">
        <v>229</v>
      </c>
      <c r="L57" s="416" t="s">
        <v>469</v>
      </c>
      <c r="M57" s="505"/>
      <c r="N57" s="501">
        <f>SUM(N58:N63)</f>
        <v>6</v>
      </c>
      <c r="O57" s="640">
        <v>0</v>
      </c>
      <c r="P57" s="640">
        <v>0</v>
      </c>
      <c r="Q57" s="656">
        <f>SUM(Q58:Q63)</f>
        <v>1.9000000000000001</v>
      </c>
      <c r="R57" s="656">
        <f t="shared" ref="R57:T57" si="20">SUM(R58:R63)</f>
        <v>1.9000000000000001</v>
      </c>
      <c r="S57" s="656">
        <f t="shared" si="20"/>
        <v>1.6</v>
      </c>
      <c r="T57" s="656">
        <f t="shared" si="20"/>
        <v>0.5</v>
      </c>
      <c r="U57" s="502"/>
      <c r="V57" s="502">
        <f>'DMF PI Links Physical Prog.S1'!Q57</f>
        <v>2</v>
      </c>
      <c r="W57" s="603"/>
      <c r="X57" s="597">
        <f>'3. DMF Progress'!E27</f>
        <v>19</v>
      </c>
      <c r="Y57" s="602">
        <f>'3. DMF Progress'!F27</f>
        <v>0.38</v>
      </c>
      <c r="Z57" s="654">
        <f>$Q$57/2</f>
        <v>0.95000000000000007</v>
      </c>
      <c r="AA57" s="617">
        <f>'3. DMF Progress'!P27</f>
        <v>37.325000000000003</v>
      </c>
      <c r="AB57" s="740">
        <f>'3. DMF Progress'!AJ27</f>
        <v>0.74649999999999994</v>
      </c>
      <c r="AC57" s="397" t="s">
        <v>892</v>
      </c>
      <c r="AD57" s="654">
        <f>$Q$57/2</f>
        <v>0.95000000000000007</v>
      </c>
      <c r="AE57" s="617"/>
      <c r="AF57" s="400">
        <f t="shared" si="0"/>
        <v>0</v>
      </c>
      <c r="AG57" s="397"/>
      <c r="AI57" s="611">
        <f>W57+Z57+AD57</f>
        <v>1.9000000000000001</v>
      </c>
      <c r="AJ57" s="612">
        <f>X57+AA57+AE57</f>
        <v>56.325000000000003</v>
      </c>
      <c r="AK57" s="688">
        <f>Y57+AB57+AF57</f>
        <v>1.1265000000000001</v>
      </c>
    </row>
    <row r="58" spans="1:37" ht="35.1" customHeight="1">
      <c r="A58" s="496"/>
      <c r="B58" s="497" t="s">
        <v>497</v>
      </c>
      <c r="C58" s="497"/>
      <c r="D58" s="497"/>
      <c r="E58" s="529" t="s">
        <v>668</v>
      </c>
      <c r="F58" s="667"/>
      <c r="G58" s="504"/>
      <c r="H58" s="499"/>
      <c r="I58" s="504"/>
      <c r="J58" s="390" t="s">
        <v>366</v>
      </c>
      <c r="K58" s="390" t="s">
        <v>229</v>
      </c>
      <c r="L58" s="416" t="s">
        <v>469</v>
      </c>
      <c r="M58" s="505">
        <v>0</v>
      </c>
      <c r="N58" s="501">
        <v>1</v>
      </c>
      <c r="O58" s="505">
        <v>0</v>
      </c>
      <c r="P58" s="505"/>
      <c r="Q58" s="631">
        <v>0.4</v>
      </c>
      <c r="R58" s="631">
        <v>0.4</v>
      </c>
      <c r="S58" s="631">
        <v>0.1</v>
      </c>
      <c r="T58" s="505"/>
      <c r="U58" s="502"/>
      <c r="V58" s="502"/>
      <c r="W58" s="603"/>
      <c r="X58" s="597"/>
      <c r="Y58" s="602"/>
      <c r="Z58" s="654">
        <f>$Q$58/2</f>
        <v>0.2</v>
      </c>
      <c r="AA58" s="617"/>
      <c r="AB58" s="407"/>
      <c r="AC58" s="397" t="s">
        <v>893</v>
      </c>
      <c r="AD58" s="654">
        <f>$Q$58/2</f>
        <v>0.2</v>
      </c>
      <c r="AE58" s="617"/>
      <c r="AF58" s="400"/>
      <c r="AG58" s="397"/>
      <c r="AI58" s="611"/>
      <c r="AJ58" s="612"/>
      <c r="AK58" s="613"/>
    </row>
    <row r="59" spans="1:37" s="650" customFormat="1" ht="35.1" customHeight="1">
      <c r="A59" s="634"/>
      <c r="B59" s="635" t="s">
        <v>498</v>
      </c>
      <c r="C59" s="635"/>
      <c r="D59" s="635"/>
      <c r="E59" s="529" t="s">
        <v>669</v>
      </c>
      <c r="F59" s="669"/>
      <c r="G59" s="636"/>
      <c r="H59" s="637"/>
      <c r="I59" s="636"/>
      <c r="J59" s="638" t="s">
        <v>366</v>
      </c>
      <c r="K59" s="638" t="s">
        <v>229</v>
      </c>
      <c r="L59" s="639" t="s">
        <v>469</v>
      </c>
      <c r="M59" s="640">
        <v>0</v>
      </c>
      <c r="N59" s="641">
        <v>1</v>
      </c>
      <c r="O59" s="640">
        <v>0</v>
      </c>
      <c r="P59" s="640"/>
      <c r="Q59" s="631">
        <v>0.3</v>
      </c>
      <c r="R59" s="631">
        <v>0.3</v>
      </c>
      <c r="S59" s="631">
        <v>0.3</v>
      </c>
      <c r="T59" s="631">
        <v>0.1</v>
      </c>
      <c r="U59" s="642"/>
      <c r="V59" s="642"/>
      <c r="W59" s="643"/>
      <c r="X59" s="644"/>
      <c r="Y59" s="645"/>
      <c r="Z59" s="654">
        <f>$Q$59/2</f>
        <v>0.15</v>
      </c>
      <c r="AA59" s="646"/>
      <c r="AB59" s="647"/>
      <c r="AC59" s="397" t="s">
        <v>894</v>
      </c>
      <c r="AD59" s="654">
        <f>$Q$59/2</f>
        <v>0.15</v>
      </c>
      <c r="AE59" s="646"/>
      <c r="AF59" s="649"/>
      <c r="AG59" s="648"/>
      <c r="AI59" s="651"/>
      <c r="AJ59" s="652"/>
      <c r="AK59" s="653"/>
    </row>
    <row r="60" spans="1:37" ht="35.1" customHeight="1">
      <c r="A60" s="496"/>
      <c r="B60" s="497" t="s">
        <v>499</v>
      </c>
      <c r="C60" s="497"/>
      <c r="D60" s="497"/>
      <c r="E60" s="529" t="s">
        <v>465</v>
      </c>
      <c r="F60" s="667"/>
      <c r="G60" s="504"/>
      <c r="H60" s="499"/>
      <c r="I60" s="504"/>
      <c r="J60" s="390" t="s">
        <v>366</v>
      </c>
      <c r="K60" s="390" t="s">
        <v>229</v>
      </c>
      <c r="L60" s="416" t="s">
        <v>469</v>
      </c>
      <c r="M60" s="505">
        <v>0</v>
      </c>
      <c r="N60" s="501">
        <v>1</v>
      </c>
      <c r="O60" s="505">
        <v>0</v>
      </c>
      <c r="P60" s="505"/>
      <c r="Q60" s="631">
        <v>0.3</v>
      </c>
      <c r="R60" s="631">
        <v>0.3</v>
      </c>
      <c r="S60" s="631">
        <v>0.3</v>
      </c>
      <c r="T60" s="631">
        <v>0.1</v>
      </c>
      <c r="U60" s="502"/>
      <c r="V60" s="502"/>
      <c r="W60" s="603"/>
      <c r="X60" s="597"/>
      <c r="Y60" s="602"/>
      <c r="Z60" s="654">
        <f>$Q$60/2</f>
        <v>0.15</v>
      </c>
      <c r="AA60" s="617"/>
      <c r="AB60" s="407"/>
      <c r="AC60" s="397" t="s">
        <v>895</v>
      </c>
      <c r="AD60" s="654">
        <f>$Q$60/2</f>
        <v>0.15</v>
      </c>
      <c r="AE60" s="617"/>
      <c r="AF60" s="400"/>
      <c r="AG60" s="397"/>
      <c r="AI60" s="611"/>
      <c r="AJ60" s="612"/>
      <c r="AK60" s="613"/>
    </row>
    <row r="61" spans="1:37" ht="35.1" customHeight="1">
      <c r="A61" s="496"/>
      <c r="B61" s="497" t="s">
        <v>500</v>
      </c>
      <c r="C61" s="497"/>
      <c r="D61" s="497"/>
      <c r="E61" s="529" t="s">
        <v>466</v>
      </c>
      <c r="F61" s="667"/>
      <c r="G61" s="504"/>
      <c r="H61" s="499"/>
      <c r="I61" s="504"/>
      <c r="J61" s="390" t="s">
        <v>366</v>
      </c>
      <c r="K61" s="390" t="s">
        <v>229</v>
      </c>
      <c r="L61" s="416" t="s">
        <v>469</v>
      </c>
      <c r="M61" s="505">
        <v>0</v>
      </c>
      <c r="N61" s="501">
        <v>1</v>
      </c>
      <c r="O61" s="505">
        <v>0</v>
      </c>
      <c r="P61" s="505"/>
      <c r="Q61" s="631">
        <v>0.3</v>
      </c>
      <c r="R61" s="631">
        <v>0.3</v>
      </c>
      <c r="S61" s="631">
        <v>0.3</v>
      </c>
      <c r="T61" s="631">
        <v>0.1</v>
      </c>
      <c r="U61" s="502"/>
      <c r="V61" s="502"/>
      <c r="W61" s="603"/>
      <c r="X61" s="597"/>
      <c r="Y61" s="602"/>
      <c r="Z61" s="654">
        <f>$Q$61/2</f>
        <v>0.15</v>
      </c>
      <c r="AA61" s="617"/>
      <c r="AB61" s="407"/>
      <c r="AC61" s="397" t="s">
        <v>896</v>
      </c>
      <c r="AD61" s="654">
        <f>$Q$61/2</f>
        <v>0.15</v>
      </c>
      <c r="AE61" s="617"/>
      <c r="AF61" s="400"/>
      <c r="AG61" s="397"/>
      <c r="AI61" s="611"/>
      <c r="AJ61" s="612"/>
      <c r="AK61" s="613"/>
    </row>
    <row r="62" spans="1:37" ht="52.5" customHeight="1">
      <c r="A62" s="496"/>
      <c r="B62" s="497" t="s">
        <v>501</v>
      </c>
      <c r="C62" s="497"/>
      <c r="D62" s="497"/>
      <c r="E62" s="529" t="s">
        <v>467</v>
      </c>
      <c r="F62" s="667"/>
      <c r="G62" s="504"/>
      <c r="H62" s="499"/>
      <c r="I62" s="504"/>
      <c r="J62" s="390" t="s">
        <v>366</v>
      </c>
      <c r="K62" s="390" t="s">
        <v>229</v>
      </c>
      <c r="L62" s="416" t="s">
        <v>469</v>
      </c>
      <c r="M62" s="505">
        <v>0</v>
      </c>
      <c r="N62" s="501">
        <v>1</v>
      </c>
      <c r="O62" s="505">
        <v>0</v>
      </c>
      <c r="P62" s="505"/>
      <c r="Q62" s="631">
        <v>0.3</v>
      </c>
      <c r="R62" s="631">
        <v>0.3</v>
      </c>
      <c r="S62" s="631">
        <v>0.3</v>
      </c>
      <c r="T62" s="631">
        <v>0.1</v>
      </c>
      <c r="U62" s="502"/>
      <c r="V62" s="502"/>
      <c r="W62" s="603"/>
      <c r="X62" s="597"/>
      <c r="Y62" s="602"/>
      <c r="Z62" s="654">
        <f>$Q$62/2</f>
        <v>0.15</v>
      </c>
      <c r="AA62" s="617"/>
      <c r="AB62" s="407"/>
      <c r="AC62" s="397" t="s">
        <v>897</v>
      </c>
      <c r="AD62" s="654">
        <f>$Q$62/2</f>
        <v>0.15</v>
      </c>
      <c r="AE62" s="617"/>
      <c r="AF62" s="400"/>
      <c r="AG62" s="397"/>
      <c r="AI62" s="611"/>
      <c r="AJ62" s="612"/>
      <c r="AK62" s="613"/>
    </row>
    <row r="63" spans="1:37" ht="83.25" customHeight="1">
      <c r="A63" s="496"/>
      <c r="B63" s="497" t="s">
        <v>502</v>
      </c>
      <c r="C63" s="497"/>
      <c r="D63" s="497"/>
      <c r="E63" s="529" t="s">
        <v>468</v>
      </c>
      <c r="F63" s="667"/>
      <c r="G63" s="504"/>
      <c r="H63" s="499"/>
      <c r="I63" s="504"/>
      <c r="J63" s="390" t="s">
        <v>366</v>
      </c>
      <c r="K63" s="390" t="s">
        <v>229</v>
      </c>
      <c r="L63" s="416" t="s">
        <v>469</v>
      </c>
      <c r="M63" s="505">
        <v>0</v>
      </c>
      <c r="N63" s="501">
        <v>1</v>
      </c>
      <c r="O63" s="505">
        <v>0</v>
      </c>
      <c r="P63" s="505"/>
      <c r="Q63" s="631">
        <v>0.3</v>
      </c>
      <c r="R63" s="631">
        <v>0.3</v>
      </c>
      <c r="S63" s="631">
        <v>0.3</v>
      </c>
      <c r="T63" s="631">
        <v>0.1</v>
      </c>
      <c r="U63" s="502"/>
      <c r="V63" s="502"/>
      <c r="W63" s="603"/>
      <c r="X63" s="597"/>
      <c r="Y63" s="602"/>
      <c r="Z63" s="654">
        <f>$Q$63/2</f>
        <v>0.15</v>
      </c>
      <c r="AA63" s="617"/>
      <c r="AB63" s="407"/>
      <c r="AC63" s="397" t="s">
        <v>900</v>
      </c>
      <c r="AD63" s="654">
        <f>$Q$63/2</f>
        <v>0.15</v>
      </c>
      <c r="AE63" s="617"/>
      <c r="AF63" s="400"/>
      <c r="AG63" s="397"/>
      <c r="AI63" s="611"/>
      <c r="AJ63" s="612"/>
      <c r="AK63" s="613"/>
    </row>
    <row r="64" spans="1:37" ht="81" customHeight="1">
      <c r="A64" s="496">
        <v>15</v>
      </c>
      <c r="B64" s="497" t="s">
        <v>450</v>
      </c>
      <c r="C64" s="497" t="s">
        <v>445</v>
      </c>
      <c r="D64" s="497"/>
      <c r="E64" s="528" t="s">
        <v>406</v>
      </c>
      <c r="F64" s="668" t="s">
        <v>679</v>
      </c>
      <c r="G64" s="504" t="s">
        <v>527</v>
      </c>
      <c r="H64" s="499" t="s">
        <v>660</v>
      </c>
      <c r="I64" s="504"/>
      <c r="J64" s="390" t="s">
        <v>366</v>
      </c>
      <c r="K64" s="390" t="s">
        <v>229</v>
      </c>
      <c r="L64" s="416" t="s">
        <v>472</v>
      </c>
      <c r="M64" s="505">
        <v>0</v>
      </c>
      <c r="N64" s="501">
        <f>SUM(N65:N66)</f>
        <v>2</v>
      </c>
      <c r="O64" s="505">
        <v>0</v>
      </c>
      <c r="P64" s="505">
        <v>0</v>
      </c>
      <c r="Q64" s="631">
        <f>SUM(Q65:Q66)</f>
        <v>0.6</v>
      </c>
      <c r="R64" s="631">
        <f t="shared" ref="R64:T64" si="21">SUM(R65:R66)</f>
        <v>0.6</v>
      </c>
      <c r="S64" s="631">
        <f t="shared" si="21"/>
        <v>0.6</v>
      </c>
      <c r="T64" s="631">
        <f t="shared" si="21"/>
        <v>0.2</v>
      </c>
      <c r="U64" s="502"/>
      <c r="V64" s="502">
        <f>'DMF PI Links Physical Prog.S1'!Q64</f>
        <v>2</v>
      </c>
      <c r="W64" s="603"/>
      <c r="X64" s="597">
        <f>'3. DMF Progress'!E28</f>
        <v>14.5</v>
      </c>
      <c r="Y64" s="602">
        <f>'3. DMF Progress'!F28</f>
        <v>0.28999999999999998</v>
      </c>
      <c r="Z64" s="654">
        <f>$Q$64/2</f>
        <v>0.3</v>
      </c>
      <c r="AA64" s="617">
        <f>'3. DMF Progress'!P28</f>
        <v>9.5</v>
      </c>
      <c r="AB64" s="740">
        <f>'3. DMF Progress'!AJ28</f>
        <v>0.19</v>
      </c>
      <c r="AC64" s="397" t="s">
        <v>884</v>
      </c>
      <c r="AD64" s="654">
        <f>$Q$64/2</f>
        <v>0.3</v>
      </c>
      <c r="AE64" s="617"/>
      <c r="AF64" s="400">
        <f t="shared" si="0"/>
        <v>0</v>
      </c>
      <c r="AG64" s="397"/>
      <c r="AI64" s="611">
        <f>W64+Z64+AD64</f>
        <v>0.6</v>
      </c>
      <c r="AJ64" s="612">
        <f>X64+AA64+AE64</f>
        <v>24</v>
      </c>
      <c r="AK64" s="688">
        <f>Y64+AB64+AF64</f>
        <v>0.48</v>
      </c>
    </row>
    <row r="65" spans="1:37" ht="59.25" customHeight="1">
      <c r="A65" s="496"/>
      <c r="B65" s="497" t="s">
        <v>477</v>
      </c>
      <c r="C65" s="497"/>
      <c r="D65" s="497"/>
      <c r="E65" s="529" t="s">
        <v>470</v>
      </c>
      <c r="F65" s="667"/>
      <c r="G65" s="504"/>
      <c r="H65" s="499"/>
      <c r="I65" s="504"/>
      <c r="J65" s="390" t="s">
        <v>366</v>
      </c>
      <c r="K65" s="390" t="s">
        <v>229</v>
      </c>
      <c r="L65" s="416" t="s">
        <v>472</v>
      </c>
      <c r="M65" s="505">
        <v>0</v>
      </c>
      <c r="N65" s="501">
        <v>1</v>
      </c>
      <c r="O65" s="505">
        <v>0</v>
      </c>
      <c r="P65" s="505">
        <v>0</v>
      </c>
      <c r="Q65" s="631">
        <v>0.3</v>
      </c>
      <c r="R65" s="631">
        <v>0.3</v>
      </c>
      <c r="S65" s="631">
        <v>0.3</v>
      </c>
      <c r="T65" s="631">
        <v>0.1</v>
      </c>
      <c r="U65" s="502"/>
      <c r="V65" s="502"/>
      <c r="W65" s="603"/>
      <c r="X65" s="597"/>
      <c r="Y65" s="602"/>
      <c r="Z65" s="654">
        <f>$Q$65/2</f>
        <v>0.15</v>
      </c>
      <c r="AA65" s="617"/>
      <c r="AB65" s="407"/>
      <c r="AC65" s="397" t="s">
        <v>898</v>
      </c>
      <c r="AD65" s="654">
        <f>$Q$65/2</f>
        <v>0.15</v>
      </c>
      <c r="AE65" s="617"/>
      <c r="AF65" s="400"/>
      <c r="AG65" s="397"/>
      <c r="AI65" s="611"/>
      <c r="AJ65" s="612"/>
      <c r="AK65" s="613"/>
    </row>
    <row r="66" spans="1:37" ht="66" customHeight="1">
      <c r="A66" s="496"/>
      <c r="B66" s="497" t="s">
        <v>478</v>
      </c>
      <c r="C66" s="497"/>
      <c r="D66" s="497"/>
      <c r="E66" s="529" t="s">
        <v>471</v>
      </c>
      <c r="F66" s="667"/>
      <c r="G66" s="504"/>
      <c r="H66" s="499"/>
      <c r="I66" s="504"/>
      <c r="J66" s="390" t="s">
        <v>366</v>
      </c>
      <c r="K66" s="390" t="s">
        <v>229</v>
      </c>
      <c r="L66" s="416" t="s">
        <v>472</v>
      </c>
      <c r="M66" s="505">
        <v>0</v>
      </c>
      <c r="N66" s="501">
        <v>1</v>
      </c>
      <c r="O66" s="505">
        <v>0</v>
      </c>
      <c r="P66" s="505">
        <v>0</v>
      </c>
      <c r="Q66" s="631">
        <v>0.3</v>
      </c>
      <c r="R66" s="631">
        <v>0.3</v>
      </c>
      <c r="S66" s="631">
        <v>0.3</v>
      </c>
      <c r="T66" s="631">
        <v>0.1</v>
      </c>
      <c r="U66" s="502"/>
      <c r="V66" s="502"/>
      <c r="W66" s="603"/>
      <c r="X66" s="597"/>
      <c r="Y66" s="602"/>
      <c r="Z66" s="654">
        <f>$Q$66/2</f>
        <v>0.15</v>
      </c>
      <c r="AA66" s="617"/>
      <c r="AB66" s="407"/>
      <c r="AC66" s="397" t="s">
        <v>899</v>
      </c>
      <c r="AD66" s="654">
        <f>$Q$66/2</f>
        <v>0.15</v>
      </c>
      <c r="AE66" s="617"/>
      <c r="AF66" s="400"/>
      <c r="AG66" s="397"/>
      <c r="AI66" s="611"/>
      <c r="AJ66" s="612"/>
      <c r="AK66" s="613"/>
    </row>
    <row r="67" spans="1:37" ht="72" customHeight="1">
      <c r="A67" s="496">
        <v>16</v>
      </c>
      <c r="B67" s="497" t="s">
        <v>451</v>
      </c>
      <c r="C67" s="497" t="s">
        <v>446</v>
      </c>
      <c r="D67" s="497"/>
      <c r="E67" s="528" t="s">
        <v>407</v>
      </c>
      <c r="F67" s="668" t="s">
        <v>679</v>
      </c>
      <c r="G67" s="504" t="s">
        <v>528</v>
      </c>
      <c r="H67" s="499" t="s">
        <v>660</v>
      </c>
      <c r="I67" s="504"/>
      <c r="J67" s="390" t="s">
        <v>366</v>
      </c>
      <c r="K67" s="390" t="s">
        <v>229</v>
      </c>
      <c r="L67" s="416" t="s">
        <v>134</v>
      </c>
      <c r="M67" s="505">
        <v>0</v>
      </c>
      <c r="N67" s="641">
        <v>50</v>
      </c>
      <c r="O67" s="640">
        <v>0</v>
      </c>
      <c r="P67" s="640">
        <v>0</v>
      </c>
      <c r="Q67" s="640">
        <v>15</v>
      </c>
      <c r="R67" s="640">
        <v>20</v>
      </c>
      <c r="S67" s="640">
        <v>15</v>
      </c>
      <c r="T67" s="640">
        <v>0</v>
      </c>
      <c r="U67" s="502"/>
      <c r="V67" s="502">
        <f>'DMF PI Links Physical Prog.S1'!Q67</f>
        <v>2</v>
      </c>
      <c r="W67" s="603"/>
      <c r="X67" s="597">
        <f>'3. DMF Progress'!E29</f>
        <v>11.5</v>
      </c>
      <c r="Y67" s="602">
        <f>'3. DMF Progress'!F29</f>
        <v>0.23</v>
      </c>
      <c r="Z67" s="654">
        <f t="shared" ref="Z67:Z74" si="22">Q67/2</f>
        <v>7.5</v>
      </c>
      <c r="AA67" s="617">
        <f>'3. DMF Progress'!P29</f>
        <v>30</v>
      </c>
      <c r="AB67" s="740">
        <f>'3. DMF Progress'!AJ29</f>
        <v>0.6</v>
      </c>
      <c r="AC67" s="397" t="s">
        <v>901</v>
      </c>
      <c r="AD67" s="654">
        <f t="shared" ref="AD67:AD74" si="23">Q67/2</f>
        <v>7.5</v>
      </c>
      <c r="AE67" s="617"/>
      <c r="AF67" s="400">
        <f t="shared" si="0"/>
        <v>0</v>
      </c>
      <c r="AG67" s="397"/>
      <c r="AI67" s="611">
        <f>W67+Z67+AD67</f>
        <v>15</v>
      </c>
      <c r="AJ67" s="612">
        <f>X67+AA67+AE67</f>
        <v>41.5</v>
      </c>
      <c r="AK67" s="688">
        <f>Y67+AB67+AF67</f>
        <v>0.83</v>
      </c>
    </row>
    <row r="68" spans="1:37" ht="53.25" customHeight="1">
      <c r="A68" s="496"/>
      <c r="B68" s="497" t="s">
        <v>475</v>
      </c>
      <c r="C68" s="497"/>
      <c r="D68" s="497"/>
      <c r="E68" s="529" t="s">
        <v>622</v>
      </c>
      <c r="F68" s="667"/>
      <c r="G68" s="504"/>
      <c r="H68" s="499"/>
      <c r="I68" s="504"/>
      <c r="J68" s="390" t="s">
        <v>366</v>
      </c>
      <c r="K68" s="390" t="s">
        <v>229</v>
      </c>
      <c r="L68" s="416" t="s">
        <v>134</v>
      </c>
      <c r="M68" s="505">
        <v>0</v>
      </c>
      <c r="N68" s="501">
        <f>N67/2</f>
        <v>25</v>
      </c>
      <c r="O68" s="505">
        <v>0</v>
      </c>
      <c r="P68" s="505">
        <f>P67/2</f>
        <v>0</v>
      </c>
      <c r="Q68" s="505">
        <f t="shared" ref="Q68:T68" si="24">Q67/2</f>
        <v>7.5</v>
      </c>
      <c r="R68" s="505">
        <f t="shared" si="24"/>
        <v>10</v>
      </c>
      <c r="S68" s="505">
        <f t="shared" si="24"/>
        <v>7.5</v>
      </c>
      <c r="T68" s="505">
        <f t="shared" si="24"/>
        <v>0</v>
      </c>
      <c r="U68" s="502"/>
      <c r="V68" s="502"/>
      <c r="W68" s="603"/>
      <c r="X68" s="597"/>
      <c r="Y68" s="602"/>
      <c r="Z68" s="654">
        <f t="shared" si="22"/>
        <v>3.75</v>
      </c>
      <c r="AA68" s="617"/>
      <c r="AB68" s="407"/>
      <c r="AC68" s="397" t="s">
        <v>901</v>
      </c>
      <c r="AD68" s="654">
        <f t="shared" si="23"/>
        <v>3.75</v>
      </c>
      <c r="AE68" s="617"/>
      <c r="AF68" s="400"/>
      <c r="AG68" s="397"/>
      <c r="AI68" s="611"/>
      <c r="AJ68" s="612"/>
      <c r="AK68" s="613"/>
    </row>
    <row r="69" spans="1:37" ht="59.25" customHeight="1">
      <c r="A69" s="496"/>
      <c r="B69" s="497" t="s">
        <v>476</v>
      </c>
      <c r="C69" s="497"/>
      <c r="D69" s="497"/>
      <c r="E69" s="529" t="s">
        <v>623</v>
      </c>
      <c r="F69" s="667"/>
      <c r="G69" s="504"/>
      <c r="H69" s="499"/>
      <c r="I69" s="504"/>
      <c r="J69" s="390" t="s">
        <v>366</v>
      </c>
      <c r="K69" s="390" t="s">
        <v>229</v>
      </c>
      <c r="L69" s="416" t="s">
        <v>134</v>
      </c>
      <c r="M69" s="505">
        <v>0</v>
      </c>
      <c r="N69" s="501">
        <f>N67/2</f>
        <v>25</v>
      </c>
      <c r="O69" s="505">
        <v>0</v>
      </c>
      <c r="P69" s="505">
        <f>P67/2</f>
        <v>0</v>
      </c>
      <c r="Q69" s="505">
        <f t="shared" ref="Q69:T69" si="25">Q67/2</f>
        <v>7.5</v>
      </c>
      <c r="R69" s="505">
        <f t="shared" si="25"/>
        <v>10</v>
      </c>
      <c r="S69" s="505">
        <f t="shared" si="25"/>
        <v>7.5</v>
      </c>
      <c r="T69" s="505">
        <f t="shared" si="25"/>
        <v>0</v>
      </c>
      <c r="U69" s="502"/>
      <c r="V69" s="502"/>
      <c r="W69" s="603"/>
      <c r="X69" s="597"/>
      <c r="Y69" s="602"/>
      <c r="Z69" s="654">
        <f t="shared" si="22"/>
        <v>3.75</v>
      </c>
      <c r="AA69" s="617"/>
      <c r="AB69" s="407"/>
      <c r="AC69" s="397" t="s">
        <v>902</v>
      </c>
      <c r="AD69" s="654">
        <f t="shared" si="23"/>
        <v>3.75</v>
      </c>
      <c r="AE69" s="617"/>
      <c r="AF69" s="400"/>
      <c r="AG69" s="397"/>
      <c r="AI69" s="611"/>
      <c r="AJ69" s="612"/>
      <c r="AK69" s="613"/>
    </row>
    <row r="70" spans="1:37" ht="66.75" customHeight="1">
      <c r="A70" s="496">
        <v>17</v>
      </c>
      <c r="B70" s="497" t="s">
        <v>452</v>
      </c>
      <c r="C70" s="497" t="s">
        <v>447</v>
      </c>
      <c r="D70" s="497"/>
      <c r="E70" s="528" t="s">
        <v>408</v>
      </c>
      <c r="F70" s="668" t="s">
        <v>679</v>
      </c>
      <c r="G70" s="504" t="s">
        <v>528</v>
      </c>
      <c r="H70" s="499" t="s">
        <v>660</v>
      </c>
      <c r="I70" s="504"/>
      <c r="J70" s="390" t="s">
        <v>366</v>
      </c>
      <c r="K70" s="390" t="s">
        <v>229</v>
      </c>
      <c r="L70" s="416"/>
      <c r="M70" s="505"/>
      <c r="N70" s="501">
        <v>30</v>
      </c>
      <c r="O70" s="505">
        <v>0</v>
      </c>
      <c r="P70" s="505">
        <v>0</v>
      </c>
      <c r="Q70" s="505">
        <v>10</v>
      </c>
      <c r="R70" s="505">
        <v>10</v>
      </c>
      <c r="S70" s="505">
        <v>10</v>
      </c>
      <c r="T70" s="505">
        <v>0</v>
      </c>
      <c r="U70" s="502"/>
      <c r="V70" s="502">
        <f>'DMF PI Links Physical Prog.S1'!Q70</f>
        <v>2</v>
      </c>
      <c r="W70" s="603"/>
      <c r="X70" s="597">
        <f>'3. DMF Progress'!E30</f>
        <v>5.4</v>
      </c>
      <c r="Y70" s="602">
        <f>'3. DMF Progress'!F30</f>
        <v>0.10800000000000001</v>
      </c>
      <c r="Z70" s="654">
        <f t="shared" si="22"/>
        <v>5</v>
      </c>
      <c r="AA70" s="617">
        <f>'3. DMF Progress'!P30</f>
        <v>3.6</v>
      </c>
      <c r="AB70" s="740">
        <f>'3. DMF Progress'!AJ30</f>
        <v>7.2000000000000008E-2</v>
      </c>
      <c r="AC70" s="397" t="s">
        <v>901</v>
      </c>
      <c r="AD70" s="654">
        <f t="shared" si="23"/>
        <v>5</v>
      </c>
      <c r="AE70" s="617"/>
      <c r="AF70" s="400">
        <f t="shared" si="0"/>
        <v>0</v>
      </c>
      <c r="AG70" s="397"/>
      <c r="AI70" s="611">
        <f>W70+Z70+AD70</f>
        <v>10</v>
      </c>
      <c r="AJ70" s="612">
        <f>X70+AA70+AE70</f>
        <v>9</v>
      </c>
      <c r="AK70" s="688">
        <f>Y70+AB70+AF70</f>
        <v>0.18000000000000002</v>
      </c>
    </row>
    <row r="71" spans="1:37" ht="66" customHeight="1">
      <c r="A71" s="496"/>
      <c r="B71" s="497"/>
      <c r="C71" s="497"/>
      <c r="D71" s="497"/>
      <c r="E71" s="529" t="s">
        <v>624</v>
      </c>
      <c r="F71" s="667"/>
      <c r="G71" s="504"/>
      <c r="H71" s="499"/>
      <c r="I71" s="504"/>
      <c r="J71" s="390" t="s">
        <v>366</v>
      </c>
      <c r="K71" s="390" t="s">
        <v>229</v>
      </c>
      <c r="L71" s="416" t="s">
        <v>134</v>
      </c>
      <c r="M71" s="505">
        <v>0</v>
      </c>
      <c r="N71" s="501">
        <f>N70/2</f>
        <v>15</v>
      </c>
      <c r="O71" s="505">
        <v>0</v>
      </c>
      <c r="P71" s="505">
        <f>P70/2</f>
        <v>0</v>
      </c>
      <c r="Q71" s="505">
        <f t="shared" ref="Q71:T71" si="26">Q70/2</f>
        <v>5</v>
      </c>
      <c r="R71" s="505">
        <f t="shared" si="26"/>
        <v>5</v>
      </c>
      <c r="S71" s="505">
        <f t="shared" si="26"/>
        <v>5</v>
      </c>
      <c r="T71" s="505">
        <f t="shared" si="26"/>
        <v>0</v>
      </c>
      <c r="U71" s="502"/>
      <c r="V71" s="502"/>
      <c r="W71" s="603"/>
      <c r="X71" s="597"/>
      <c r="Y71" s="602"/>
      <c r="Z71" s="654">
        <f t="shared" si="22"/>
        <v>2.5</v>
      </c>
      <c r="AA71" s="617"/>
      <c r="AB71" s="407"/>
      <c r="AC71" s="397" t="s">
        <v>901</v>
      </c>
      <c r="AD71" s="654">
        <f t="shared" si="23"/>
        <v>2.5</v>
      </c>
      <c r="AE71" s="617"/>
      <c r="AF71" s="400"/>
      <c r="AG71" s="397"/>
      <c r="AI71" s="611"/>
      <c r="AJ71" s="612"/>
      <c r="AK71" s="613"/>
    </row>
    <row r="72" spans="1:37" ht="60" customHeight="1">
      <c r="A72" s="496"/>
      <c r="B72" s="497"/>
      <c r="C72" s="497"/>
      <c r="D72" s="497"/>
      <c r="E72" s="584" t="s">
        <v>625</v>
      </c>
      <c r="F72" s="667"/>
      <c r="G72" s="504"/>
      <c r="H72" s="499"/>
      <c r="I72" s="504"/>
      <c r="J72" s="390" t="s">
        <v>366</v>
      </c>
      <c r="K72" s="390" t="s">
        <v>229</v>
      </c>
      <c r="L72" s="416" t="s">
        <v>435</v>
      </c>
      <c r="M72" s="505">
        <v>0</v>
      </c>
      <c r="N72" s="501">
        <f>N70/2</f>
        <v>15</v>
      </c>
      <c r="O72" s="505">
        <v>0</v>
      </c>
      <c r="P72" s="505">
        <f>P70/2</f>
        <v>0</v>
      </c>
      <c r="Q72" s="505">
        <f t="shared" ref="Q72:T72" si="27">Q70/2</f>
        <v>5</v>
      </c>
      <c r="R72" s="505">
        <f t="shared" si="27"/>
        <v>5</v>
      </c>
      <c r="S72" s="505">
        <f t="shared" si="27"/>
        <v>5</v>
      </c>
      <c r="T72" s="505">
        <f t="shared" si="27"/>
        <v>0</v>
      </c>
      <c r="U72" s="502"/>
      <c r="V72" s="502"/>
      <c r="W72" s="603"/>
      <c r="X72" s="597"/>
      <c r="Y72" s="602"/>
      <c r="Z72" s="654">
        <f t="shared" si="22"/>
        <v>2.5</v>
      </c>
      <c r="AA72" s="617"/>
      <c r="AB72" s="407"/>
      <c r="AC72" s="397" t="s">
        <v>901</v>
      </c>
      <c r="AD72" s="654">
        <f t="shared" si="23"/>
        <v>2.5</v>
      </c>
      <c r="AE72" s="617"/>
      <c r="AF72" s="400"/>
      <c r="AG72" s="397"/>
      <c r="AI72" s="611"/>
      <c r="AJ72" s="612"/>
      <c r="AK72" s="613"/>
    </row>
    <row r="73" spans="1:37" ht="90.75" customHeight="1">
      <c r="A73" s="496">
        <v>18</v>
      </c>
      <c r="B73" s="497" t="s">
        <v>453</v>
      </c>
      <c r="C73" s="497" t="s">
        <v>449</v>
      </c>
      <c r="D73" s="497"/>
      <c r="E73" s="528" t="s">
        <v>659</v>
      </c>
      <c r="F73" s="668" t="s">
        <v>679</v>
      </c>
      <c r="G73" s="504" t="s">
        <v>368</v>
      </c>
      <c r="H73" s="499" t="s">
        <v>660</v>
      </c>
      <c r="I73" s="504"/>
      <c r="J73" s="390" t="s">
        <v>366</v>
      </c>
      <c r="K73" s="390" t="s">
        <v>229</v>
      </c>
      <c r="L73" s="416" t="s">
        <v>436</v>
      </c>
      <c r="M73" s="505">
        <v>0</v>
      </c>
      <c r="N73" s="501">
        <v>20000</v>
      </c>
      <c r="O73" s="505">
        <v>0</v>
      </c>
      <c r="P73" s="505">
        <v>0</v>
      </c>
      <c r="Q73" s="505">
        <v>5500</v>
      </c>
      <c r="R73" s="505">
        <v>6000</v>
      </c>
      <c r="S73" s="505">
        <v>6000</v>
      </c>
      <c r="T73" s="505">
        <v>2500</v>
      </c>
      <c r="U73" s="502"/>
      <c r="V73" s="502">
        <f>'DMF PI Links Physical Prog.S1'!Q73</f>
        <v>2</v>
      </c>
      <c r="W73" s="603"/>
      <c r="X73" s="597">
        <f>'3. DMF Progress'!E31</f>
        <v>4.5</v>
      </c>
      <c r="Y73" s="602">
        <f>'3. DMF Progress'!F31</f>
        <v>0.09</v>
      </c>
      <c r="Z73" s="654">
        <f t="shared" si="22"/>
        <v>2750</v>
      </c>
      <c r="AA73" s="617">
        <f>'3. DMF Progress'!P31</f>
        <v>0.89999999999999991</v>
      </c>
      <c r="AB73" s="740">
        <f>'3. DMF Progress'!AJ31</f>
        <v>1.7999999999999999E-2</v>
      </c>
      <c r="AC73" s="397" t="s">
        <v>884</v>
      </c>
      <c r="AD73" s="654">
        <f t="shared" si="23"/>
        <v>2750</v>
      </c>
      <c r="AE73" s="617"/>
      <c r="AF73" s="400">
        <f t="shared" si="0"/>
        <v>0</v>
      </c>
      <c r="AG73" s="397"/>
      <c r="AI73" s="611">
        <f t="shared" ref="AI73:AK74" si="28">W73+Z73+AD73</f>
        <v>5500</v>
      </c>
      <c r="AJ73" s="612">
        <f t="shared" si="28"/>
        <v>5.4</v>
      </c>
      <c r="AK73" s="688">
        <f t="shared" si="28"/>
        <v>0.108</v>
      </c>
    </row>
    <row r="74" spans="1:37" ht="51.75" customHeight="1">
      <c r="A74" s="496">
        <v>19</v>
      </c>
      <c r="B74" s="497" t="s">
        <v>454</v>
      </c>
      <c r="C74" s="497" t="s">
        <v>448</v>
      </c>
      <c r="D74" s="497"/>
      <c r="E74" s="528" t="s">
        <v>409</v>
      </c>
      <c r="F74" s="668" t="s">
        <v>679</v>
      </c>
      <c r="G74" s="504" t="s">
        <v>368</v>
      </c>
      <c r="H74" s="499" t="s">
        <v>660</v>
      </c>
      <c r="I74" s="504"/>
      <c r="J74" s="415" t="s">
        <v>366</v>
      </c>
      <c r="K74" s="415" t="s">
        <v>229</v>
      </c>
      <c r="L74" s="416" t="s">
        <v>700</v>
      </c>
      <c r="M74" s="505">
        <v>0</v>
      </c>
      <c r="N74" s="501">
        <v>1</v>
      </c>
      <c r="O74" s="505">
        <v>0</v>
      </c>
      <c r="P74" s="505">
        <v>0</v>
      </c>
      <c r="Q74" s="631">
        <v>0.3</v>
      </c>
      <c r="R74" s="631">
        <v>0.3</v>
      </c>
      <c r="S74" s="631">
        <v>0.3</v>
      </c>
      <c r="T74" s="631">
        <v>0.1</v>
      </c>
      <c r="U74" s="502"/>
      <c r="V74" s="502">
        <f>'DMF PI Links Physical Prog.S1'!Q74</f>
        <v>2</v>
      </c>
      <c r="W74" s="603"/>
      <c r="X74" s="597">
        <f>'3. DMF Progress'!E32</f>
        <v>4.5</v>
      </c>
      <c r="Y74" s="602">
        <f>'3. DMF Progress'!F32</f>
        <v>0.09</v>
      </c>
      <c r="Z74" s="654">
        <f t="shared" si="22"/>
        <v>0.15</v>
      </c>
      <c r="AA74" s="617">
        <f>'3. DMF Progress'!P32</f>
        <v>0.75</v>
      </c>
      <c r="AB74" s="658">
        <f>'3. DMF Progress'!AJ32</f>
        <v>1.4999999999999999E-2</v>
      </c>
      <c r="AC74" s="397" t="s">
        <v>903</v>
      </c>
      <c r="AD74" s="654">
        <f t="shared" si="23"/>
        <v>0.15</v>
      </c>
      <c r="AE74" s="617"/>
      <c r="AF74" s="400">
        <f t="shared" si="0"/>
        <v>0</v>
      </c>
      <c r="AG74" s="397"/>
      <c r="AI74" s="611">
        <f t="shared" si="28"/>
        <v>0.3</v>
      </c>
      <c r="AJ74" s="612">
        <f t="shared" si="28"/>
        <v>5.25</v>
      </c>
      <c r="AK74" s="688">
        <f t="shared" si="28"/>
        <v>0.105</v>
      </c>
    </row>
    <row r="75" spans="1:37" ht="57" customHeight="1">
      <c r="A75" s="496"/>
      <c r="B75" s="497" t="s">
        <v>675</v>
      </c>
      <c r="C75" s="497" t="s">
        <v>673</v>
      </c>
      <c r="D75" s="660" t="s">
        <v>674</v>
      </c>
      <c r="E75" s="528" t="s">
        <v>18</v>
      </c>
      <c r="F75" s="668" t="s">
        <v>679</v>
      </c>
      <c r="G75" s="504"/>
      <c r="H75" s="499"/>
      <c r="I75" s="504"/>
      <c r="J75" s="415"/>
      <c r="K75" s="415"/>
      <c r="L75" s="416" t="s">
        <v>700</v>
      </c>
      <c r="M75" s="505"/>
      <c r="N75" s="501">
        <v>1</v>
      </c>
      <c r="O75" s="505">
        <v>0</v>
      </c>
      <c r="P75" s="505">
        <v>0</v>
      </c>
      <c r="Q75" s="631">
        <v>0.3</v>
      </c>
      <c r="R75" s="631">
        <v>0.3</v>
      </c>
      <c r="S75" s="631">
        <v>0.3</v>
      </c>
      <c r="T75" s="631">
        <v>0.1</v>
      </c>
      <c r="U75" s="502"/>
      <c r="V75" s="502">
        <f>'DMF PI Links Physical Prog.S1'!Q75</f>
        <v>3</v>
      </c>
      <c r="W75" s="500"/>
      <c r="X75" s="597">
        <f>'3. DMF Progress'!E33</f>
        <v>6.9</v>
      </c>
      <c r="Y75" s="602">
        <f>'3. DMF Progress'!F33</f>
        <v>0.20700000000000002</v>
      </c>
      <c r="Z75" s="654"/>
      <c r="AA75" s="741">
        <f>'3. DMF Progress'!P33</f>
        <v>11</v>
      </c>
      <c r="AB75" s="740">
        <f>'3. DMF Progress'!AJ33</f>
        <v>0.33</v>
      </c>
      <c r="AC75" s="397" t="s">
        <v>904</v>
      </c>
      <c r="AD75" s="654"/>
      <c r="AE75" s="617"/>
      <c r="AF75" s="400"/>
      <c r="AG75" s="397"/>
      <c r="AI75" s="611"/>
      <c r="AJ75" s="612"/>
      <c r="AK75" s="613"/>
    </row>
    <row r="76" spans="1:37" ht="1.5" customHeight="1">
      <c r="A76" s="520"/>
      <c r="B76" s="521"/>
      <c r="C76" s="521"/>
      <c r="D76" s="521"/>
      <c r="E76" s="522"/>
      <c r="F76" s="522"/>
      <c r="G76" s="523"/>
      <c r="H76" s="524"/>
      <c r="I76" s="523"/>
      <c r="J76" s="525"/>
      <c r="K76" s="525"/>
      <c r="L76" s="604"/>
      <c r="M76" s="604"/>
      <c r="N76" s="604"/>
      <c r="O76" s="604"/>
      <c r="P76" s="604"/>
      <c r="Q76" s="604"/>
      <c r="R76" s="604"/>
      <c r="S76" s="604"/>
      <c r="T76" s="604"/>
      <c r="U76" s="598"/>
      <c r="V76" s="701"/>
      <c r="W76" s="604"/>
      <c r="X76" s="598"/>
      <c r="Y76" s="604"/>
      <c r="Z76" s="604"/>
      <c r="AA76" s="604"/>
      <c r="AB76" s="526" t="e">
        <f t="shared" ref="AB76:AB144" si="29">AA76/Z76</f>
        <v>#DIV/0!</v>
      </c>
      <c r="AC76" s="522"/>
      <c r="AD76" s="616">
        <f>P76/2</f>
        <v>0</v>
      </c>
      <c r="AE76" s="617"/>
      <c r="AF76" s="526" t="e">
        <f t="shared" si="0"/>
        <v>#DIV/0!</v>
      </c>
      <c r="AG76" s="522"/>
      <c r="AI76" s="611"/>
      <c r="AJ76" s="612"/>
      <c r="AK76" s="613"/>
    </row>
    <row r="77" spans="1:37" ht="35.1" hidden="1" customHeight="1">
      <c r="A77" s="506"/>
      <c r="B77" s="497"/>
      <c r="C77" s="497"/>
      <c r="D77" s="497"/>
      <c r="E77" s="512" t="s">
        <v>533</v>
      </c>
      <c r="F77" s="500"/>
      <c r="G77" s="500"/>
      <c r="H77" s="500"/>
      <c r="I77" s="500"/>
      <c r="J77" s="500"/>
      <c r="K77" s="500"/>
      <c r="L77" s="500"/>
      <c r="M77" s="500"/>
      <c r="N77" s="501"/>
      <c r="O77" s="505"/>
      <c r="P77" s="505"/>
      <c r="Q77" s="505"/>
      <c r="R77" s="505"/>
      <c r="S77" s="505"/>
      <c r="T77" s="505"/>
      <c r="U77" s="502"/>
      <c r="V77" s="502"/>
      <c r="W77" s="603"/>
      <c r="X77" s="500"/>
      <c r="Y77" s="608"/>
      <c r="Z77" s="616"/>
      <c r="AA77" s="617"/>
      <c r="AB77" s="400"/>
      <c r="AC77" s="397"/>
      <c r="AD77" s="616"/>
      <c r="AE77" s="617"/>
      <c r="AF77" s="400"/>
      <c r="AG77" s="397"/>
      <c r="AI77" s="611"/>
      <c r="AJ77" s="612"/>
      <c r="AK77" s="613"/>
    </row>
    <row r="78" spans="1:37" s="572" customFormat="1" ht="35.1" hidden="1" customHeight="1">
      <c r="A78" s="574"/>
      <c r="B78" s="560"/>
      <c r="C78" s="560"/>
      <c r="D78" s="560"/>
      <c r="E78" s="561" t="s">
        <v>532</v>
      </c>
      <c r="F78" s="562"/>
      <c r="G78" s="563"/>
      <c r="H78" s="564"/>
      <c r="I78" s="563"/>
      <c r="J78" s="565"/>
      <c r="K78" s="565"/>
      <c r="L78" s="566"/>
      <c r="M78" s="567"/>
      <c r="N78" s="568"/>
      <c r="O78" s="567"/>
      <c r="P78" s="567"/>
      <c r="Q78" s="567"/>
      <c r="R78" s="567"/>
      <c r="S78" s="567"/>
      <c r="T78" s="567"/>
      <c r="U78" s="569"/>
      <c r="V78" s="569"/>
      <c r="W78" s="662"/>
      <c r="X78" s="614"/>
      <c r="Y78" s="663"/>
      <c r="Z78" s="627"/>
      <c r="AA78" s="628"/>
      <c r="AB78" s="630"/>
      <c r="AC78" s="562"/>
      <c r="AD78" s="627"/>
      <c r="AE78" s="628"/>
      <c r="AF78" s="630"/>
      <c r="AG78" s="562"/>
      <c r="AI78" s="611"/>
      <c r="AJ78" s="612"/>
      <c r="AK78" s="613"/>
    </row>
    <row r="79" spans="1:37" s="550" customFormat="1" ht="35.1" hidden="1" customHeight="1">
      <c r="A79" s="573"/>
      <c r="B79" s="542"/>
      <c r="C79" s="542"/>
      <c r="D79" s="542"/>
      <c r="E79" s="518" t="s">
        <v>534</v>
      </c>
      <c r="F79" s="543"/>
      <c r="G79" s="544"/>
      <c r="H79" s="545"/>
      <c r="I79" s="544"/>
      <c r="J79" s="546"/>
      <c r="K79" s="546"/>
      <c r="L79" s="547"/>
      <c r="M79" s="548"/>
      <c r="N79" s="549"/>
      <c r="O79" s="406"/>
      <c r="P79" s="406"/>
      <c r="Q79" s="406"/>
      <c r="R79" s="406"/>
      <c r="S79" s="406"/>
      <c r="T79" s="406"/>
      <c r="U79" s="409"/>
      <c r="V79" s="409"/>
      <c r="W79" s="622"/>
      <c r="X79" s="623"/>
      <c r="Y79" s="624"/>
      <c r="Z79" s="625"/>
      <c r="AA79" s="617"/>
      <c r="AB79" s="626"/>
      <c r="AC79" s="543"/>
      <c r="AD79" s="625"/>
      <c r="AE79" s="617"/>
      <c r="AF79" s="626"/>
      <c r="AG79" s="543"/>
      <c r="AI79" s="611"/>
      <c r="AJ79" s="612"/>
      <c r="AK79" s="613"/>
    </row>
    <row r="80" spans="1:37" ht="121.15" hidden="1" customHeight="1">
      <c r="A80" s="496">
        <v>20</v>
      </c>
      <c r="B80" s="497"/>
      <c r="C80" s="497" t="s">
        <v>517</v>
      </c>
      <c r="D80" s="497"/>
      <c r="E80" s="528" t="s">
        <v>554</v>
      </c>
      <c r="F80" s="668" t="s">
        <v>679</v>
      </c>
      <c r="G80" s="403" t="s">
        <v>607</v>
      </c>
      <c r="H80" s="404" t="s">
        <v>604</v>
      </c>
      <c r="I80" s="403" t="s">
        <v>531</v>
      </c>
      <c r="J80" s="390"/>
      <c r="K80" s="390"/>
      <c r="L80" s="416"/>
      <c r="M80" s="517" t="s">
        <v>515</v>
      </c>
      <c r="N80" s="408"/>
      <c r="O80" s="505"/>
      <c r="P80" s="505"/>
      <c r="Q80" s="505"/>
      <c r="R80" s="505"/>
      <c r="S80" s="505"/>
      <c r="T80" s="505"/>
      <c r="U80" s="502"/>
      <c r="V80" s="502"/>
      <c r="W80" s="603"/>
      <c r="X80" s="597"/>
      <c r="Y80" s="602"/>
      <c r="Z80" s="654">
        <f t="shared" ref="Z80:Z86" si="30">Q80/2</f>
        <v>0</v>
      </c>
      <c r="AA80" s="617"/>
      <c r="AB80" s="400" t="e">
        <f t="shared" si="29"/>
        <v>#DIV/0!</v>
      </c>
      <c r="AC80" s="397"/>
      <c r="AD80" s="654">
        <f t="shared" ref="AD80:AD86" si="31">Q80/2</f>
        <v>0</v>
      </c>
      <c r="AE80" s="617"/>
      <c r="AF80" s="400" t="e">
        <f t="shared" si="0"/>
        <v>#DIV/0!</v>
      </c>
      <c r="AG80" s="397"/>
      <c r="AI80" s="611"/>
      <c r="AJ80" s="612"/>
      <c r="AK80" s="613"/>
    </row>
    <row r="81" spans="1:37" ht="33" hidden="1" customHeight="1">
      <c r="A81" s="506"/>
      <c r="B81" s="497"/>
      <c r="C81" s="497" t="s">
        <v>561</v>
      </c>
      <c r="D81" s="497"/>
      <c r="E81" s="503" t="s">
        <v>556</v>
      </c>
      <c r="F81" s="667"/>
      <c r="G81" s="403"/>
      <c r="H81" s="404"/>
      <c r="I81" s="403"/>
      <c r="J81" s="390" t="s">
        <v>365</v>
      </c>
      <c r="K81" s="390" t="s">
        <v>229</v>
      </c>
      <c r="L81" s="416" t="s">
        <v>362</v>
      </c>
      <c r="M81" s="517" t="s">
        <v>515</v>
      </c>
      <c r="N81" s="408">
        <v>40</v>
      </c>
      <c r="O81" s="505"/>
      <c r="P81" s="505"/>
      <c r="Q81" s="505"/>
      <c r="R81" s="505"/>
      <c r="S81" s="505"/>
      <c r="T81" s="505"/>
      <c r="U81" s="502"/>
      <c r="V81" s="502"/>
      <c r="W81" s="603"/>
      <c r="X81" s="597"/>
      <c r="Y81" s="602"/>
      <c r="Z81" s="654">
        <f t="shared" si="30"/>
        <v>0</v>
      </c>
      <c r="AA81" s="617"/>
      <c r="AB81" s="400" t="e">
        <f t="shared" si="29"/>
        <v>#DIV/0!</v>
      </c>
      <c r="AC81" s="397"/>
      <c r="AD81" s="654">
        <f t="shared" si="31"/>
        <v>0</v>
      </c>
      <c r="AE81" s="617"/>
      <c r="AF81" s="400" t="e">
        <f t="shared" si="0"/>
        <v>#DIV/0!</v>
      </c>
      <c r="AG81" s="397"/>
      <c r="AI81" s="611"/>
      <c r="AJ81" s="612"/>
      <c r="AK81" s="613"/>
    </row>
    <row r="82" spans="1:37" ht="33" hidden="1" customHeight="1">
      <c r="A82" s="506"/>
      <c r="B82" s="497"/>
      <c r="C82" s="497"/>
      <c r="D82" s="497"/>
      <c r="E82" s="503" t="s">
        <v>558</v>
      </c>
      <c r="F82" s="667"/>
      <c r="G82" s="403"/>
      <c r="H82" s="404"/>
      <c r="I82" s="403"/>
      <c r="J82" s="390" t="s">
        <v>365</v>
      </c>
      <c r="K82" s="390" t="s">
        <v>229</v>
      </c>
      <c r="L82" s="416" t="s">
        <v>362</v>
      </c>
      <c r="M82" s="517" t="s">
        <v>515</v>
      </c>
      <c r="N82" s="408">
        <v>54</v>
      </c>
      <c r="O82" s="505"/>
      <c r="P82" s="505"/>
      <c r="Q82" s="505"/>
      <c r="R82" s="505"/>
      <c r="S82" s="505"/>
      <c r="T82" s="505"/>
      <c r="U82" s="502"/>
      <c r="V82" s="502"/>
      <c r="W82" s="603"/>
      <c r="X82" s="597"/>
      <c r="Y82" s="602"/>
      <c r="Z82" s="654">
        <f t="shared" si="30"/>
        <v>0</v>
      </c>
      <c r="AA82" s="617"/>
      <c r="AB82" s="400"/>
      <c r="AC82" s="397"/>
      <c r="AD82" s="654">
        <f t="shared" si="31"/>
        <v>0</v>
      </c>
      <c r="AE82" s="617"/>
      <c r="AF82" s="400"/>
      <c r="AG82" s="397"/>
      <c r="AI82" s="611"/>
      <c r="AJ82" s="612"/>
      <c r="AK82" s="613"/>
    </row>
    <row r="83" spans="1:37" ht="33" hidden="1" customHeight="1">
      <c r="A83" s="506"/>
      <c r="B83" s="497"/>
      <c r="C83" s="497"/>
      <c r="D83" s="497"/>
      <c r="E83" s="503" t="s">
        <v>559</v>
      </c>
      <c r="F83" s="667"/>
      <c r="G83" s="403"/>
      <c r="H83" s="404"/>
      <c r="I83" s="403"/>
      <c r="J83" s="390" t="s">
        <v>365</v>
      </c>
      <c r="K83" s="390" t="s">
        <v>229</v>
      </c>
      <c r="L83" s="416" t="s">
        <v>362</v>
      </c>
      <c r="M83" s="517" t="s">
        <v>515</v>
      </c>
      <c r="N83" s="408">
        <v>47</v>
      </c>
      <c r="O83" s="505"/>
      <c r="P83" s="505"/>
      <c r="Q83" s="505"/>
      <c r="R83" s="505"/>
      <c r="S83" s="505"/>
      <c r="T83" s="505"/>
      <c r="U83" s="502"/>
      <c r="V83" s="502"/>
      <c r="W83" s="603"/>
      <c r="X83" s="597"/>
      <c r="Y83" s="602"/>
      <c r="Z83" s="654">
        <f t="shared" si="30"/>
        <v>0</v>
      </c>
      <c r="AA83" s="617"/>
      <c r="AB83" s="400"/>
      <c r="AC83" s="397"/>
      <c r="AD83" s="654">
        <f t="shared" si="31"/>
        <v>0</v>
      </c>
      <c r="AE83" s="617"/>
      <c r="AF83" s="400"/>
      <c r="AG83" s="397"/>
      <c r="AI83" s="611"/>
      <c r="AJ83" s="612"/>
      <c r="AK83" s="613"/>
    </row>
    <row r="84" spans="1:37" ht="33" hidden="1" customHeight="1">
      <c r="A84" s="506"/>
      <c r="B84" s="497"/>
      <c r="C84" s="497"/>
      <c r="D84" s="497"/>
      <c r="E84" s="503" t="s">
        <v>560</v>
      </c>
      <c r="F84" s="667"/>
      <c r="G84" s="403"/>
      <c r="H84" s="404"/>
      <c r="I84" s="403"/>
      <c r="J84" s="390" t="s">
        <v>365</v>
      </c>
      <c r="K84" s="390" t="s">
        <v>229</v>
      </c>
      <c r="L84" s="416" t="s">
        <v>362</v>
      </c>
      <c r="M84" s="517" t="s">
        <v>515</v>
      </c>
      <c r="N84" s="408">
        <v>48</v>
      </c>
      <c r="O84" s="505"/>
      <c r="P84" s="505"/>
      <c r="Q84" s="505"/>
      <c r="R84" s="505"/>
      <c r="S84" s="505"/>
      <c r="T84" s="505"/>
      <c r="U84" s="502"/>
      <c r="V84" s="502"/>
      <c r="W84" s="603"/>
      <c r="X84" s="597"/>
      <c r="Y84" s="602"/>
      <c r="Z84" s="654">
        <f t="shared" si="30"/>
        <v>0</v>
      </c>
      <c r="AA84" s="617"/>
      <c r="AB84" s="400"/>
      <c r="AC84" s="397"/>
      <c r="AD84" s="654">
        <f t="shared" si="31"/>
        <v>0</v>
      </c>
      <c r="AE84" s="617"/>
      <c r="AF84" s="400"/>
      <c r="AG84" s="397"/>
      <c r="AI84" s="611"/>
      <c r="AJ84" s="612"/>
      <c r="AK84" s="613"/>
    </row>
    <row r="85" spans="1:37" ht="33" hidden="1" customHeight="1">
      <c r="A85" s="506"/>
      <c r="B85" s="497"/>
      <c r="C85" s="497"/>
      <c r="D85" s="497"/>
      <c r="E85" s="503" t="s">
        <v>557</v>
      </c>
      <c r="F85" s="667"/>
      <c r="G85" s="403"/>
      <c r="H85" s="404"/>
      <c r="I85" s="403"/>
      <c r="J85" s="390" t="s">
        <v>365</v>
      </c>
      <c r="K85" s="390" t="s">
        <v>229</v>
      </c>
      <c r="L85" s="416" t="s">
        <v>362</v>
      </c>
      <c r="M85" s="517" t="s">
        <v>515</v>
      </c>
      <c r="N85" s="408">
        <v>30</v>
      </c>
      <c r="O85" s="505"/>
      <c r="P85" s="505"/>
      <c r="Q85" s="505"/>
      <c r="R85" s="505"/>
      <c r="S85" s="505"/>
      <c r="T85" s="505"/>
      <c r="U85" s="502"/>
      <c r="V85" s="502"/>
      <c r="W85" s="603"/>
      <c r="X85" s="597"/>
      <c r="Y85" s="602"/>
      <c r="Z85" s="654">
        <f t="shared" si="30"/>
        <v>0</v>
      </c>
      <c r="AA85" s="617"/>
      <c r="AB85" s="400"/>
      <c r="AC85" s="397"/>
      <c r="AD85" s="654">
        <f t="shared" si="31"/>
        <v>0</v>
      </c>
      <c r="AE85" s="617"/>
      <c r="AF85" s="400"/>
      <c r="AG85" s="397"/>
      <c r="AI85" s="611"/>
      <c r="AJ85" s="612"/>
      <c r="AK85" s="613"/>
    </row>
    <row r="86" spans="1:37" ht="56.45" hidden="1" customHeight="1">
      <c r="A86" s="506"/>
      <c r="B86" s="497"/>
      <c r="C86" s="497" t="s">
        <v>562</v>
      </c>
      <c r="D86" s="497"/>
      <c r="E86" s="503" t="s">
        <v>555</v>
      </c>
      <c r="F86" s="667"/>
      <c r="G86" s="403"/>
      <c r="H86" s="404"/>
      <c r="I86" s="403"/>
      <c r="J86" s="390" t="s">
        <v>365</v>
      </c>
      <c r="K86" s="390" t="s">
        <v>229</v>
      </c>
      <c r="L86" s="416" t="s">
        <v>134</v>
      </c>
      <c r="M86" s="517" t="s">
        <v>515</v>
      </c>
      <c r="N86" s="408">
        <v>50000</v>
      </c>
      <c r="O86" s="505"/>
      <c r="P86" s="505"/>
      <c r="Q86" s="505"/>
      <c r="R86" s="505"/>
      <c r="S86" s="505"/>
      <c r="T86" s="505"/>
      <c r="U86" s="502"/>
      <c r="V86" s="502"/>
      <c r="W86" s="603"/>
      <c r="X86" s="597"/>
      <c r="Y86" s="602"/>
      <c r="Z86" s="654">
        <f t="shared" si="30"/>
        <v>0</v>
      </c>
      <c r="AA86" s="617"/>
      <c r="AB86" s="400"/>
      <c r="AC86" s="397"/>
      <c r="AD86" s="654">
        <f t="shared" si="31"/>
        <v>0</v>
      </c>
      <c r="AE86" s="617"/>
      <c r="AF86" s="400"/>
      <c r="AG86" s="397"/>
      <c r="AI86" s="611"/>
      <c r="AJ86" s="612"/>
      <c r="AK86" s="613"/>
    </row>
    <row r="87" spans="1:37" s="550" customFormat="1" ht="35.1" hidden="1" customHeight="1">
      <c r="A87" s="573"/>
      <c r="B87" s="542"/>
      <c r="C87" s="542"/>
      <c r="D87" s="542"/>
      <c r="E87" s="518" t="s">
        <v>535</v>
      </c>
      <c r="F87" s="543"/>
      <c r="G87" s="544"/>
      <c r="H87" s="545"/>
      <c r="I87" s="544"/>
      <c r="J87" s="546"/>
      <c r="K87" s="546"/>
      <c r="L87" s="547"/>
      <c r="M87" s="548"/>
      <c r="N87" s="549"/>
      <c r="O87" s="406"/>
      <c r="P87" s="406"/>
      <c r="Q87" s="406"/>
      <c r="R87" s="406"/>
      <c r="S87" s="406"/>
      <c r="T87" s="406"/>
      <c r="U87" s="409"/>
      <c r="V87" s="409"/>
      <c r="W87" s="622"/>
      <c r="X87" s="623"/>
      <c r="Y87" s="624"/>
      <c r="Z87" s="625"/>
      <c r="AA87" s="617"/>
      <c r="AB87" s="626"/>
      <c r="AC87" s="543"/>
      <c r="AD87" s="625"/>
      <c r="AE87" s="617"/>
      <c r="AF87" s="626"/>
      <c r="AG87" s="543"/>
      <c r="AI87" s="611"/>
      <c r="AJ87" s="612"/>
      <c r="AK87" s="613"/>
    </row>
    <row r="88" spans="1:37" ht="94.15" hidden="1" customHeight="1">
      <c r="A88" s="496">
        <v>21</v>
      </c>
      <c r="B88" s="497"/>
      <c r="C88" s="497" t="s">
        <v>529</v>
      </c>
      <c r="D88" s="497"/>
      <c r="E88" s="528" t="s">
        <v>563</v>
      </c>
      <c r="F88" s="668" t="s">
        <v>679</v>
      </c>
      <c r="G88" s="403" t="s">
        <v>607</v>
      </c>
      <c r="H88" s="404" t="s">
        <v>604</v>
      </c>
      <c r="I88" s="403" t="s">
        <v>530</v>
      </c>
      <c r="J88" s="390" t="s">
        <v>365</v>
      </c>
      <c r="K88" s="390" t="s">
        <v>229</v>
      </c>
      <c r="L88" s="416" t="s">
        <v>362</v>
      </c>
      <c r="M88" s="508" t="s">
        <v>515</v>
      </c>
      <c r="N88" s="408">
        <v>25</v>
      </c>
      <c r="O88" s="505"/>
      <c r="P88" s="505"/>
      <c r="Q88" s="505"/>
      <c r="R88" s="505"/>
      <c r="S88" s="505"/>
      <c r="T88" s="505"/>
      <c r="U88" s="502"/>
      <c r="V88" s="502"/>
      <c r="W88" s="603"/>
      <c r="X88" s="597"/>
      <c r="Y88" s="602"/>
      <c r="Z88" s="654">
        <f>Q88/2</f>
        <v>0</v>
      </c>
      <c r="AA88" s="617"/>
      <c r="AB88" s="400" t="e">
        <f t="shared" si="29"/>
        <v>#DIV/0!</v>
      </c>
      <c r="AC88" s="397"/>
      <c r="AD88" s="654">
        <f>Q88/2</f>
        <v>0</v>
      </c>
      <c r="AE88" s="617"/>
      <c r="AF88" s="400" t="e">
        <f t="shared" si="0"/>
        <v>#DIV/0!</v>
      </c>
      <c r="AG88" s="397"/>
      <c r="AI88" s="611"/>
      <c r="AJ88" s="612"/>
      <c r="AK88" s="613"/>
    </row>
    <row r="89" spans="1:37" ht="42.75" hidden="1" customHeight="1">
      <c r="A89" s="506"/>
      <c r="B89" s="497"/>
      <c r="C89" s="497"/>
      <c r="D89" s="497"/>
      <c r="E89" s="529" t="s">
        <v>637</v>
      </c>
      <c r="F89" s="667"/>
      <c r="G89" s="403"/>
      <c r="H89" s="404"/>
      <c r="I89" s="403"/>
      <c r="J89" s="390" t="s">
        <v>365</v>
      </c>
      <c r="K89" s="390" t="s">
        <v>229</v>
      </c>
      <c r="L89" s="416" t="s">
        <v>362</v>
      </c>
      <c r="M89" s="508" t="s">
        <v>515</v>
      </c>
      <c r="N89" s="408">
        <v>25</v>
      </c>
      <c r="O89" s="505"/>
      <c r="P89" s="505"/>
      <c r="Q89" s="505"/>
      <c r="R89" s="505"/>
      <c r="S89" s="505"/>
      <c r="T89" s="505"/>
      <c r="U89" s="502"/>
      <c r="V89" s="502"/>
      <c r="W89" s="603"/>
      <c r="X89" s="597"/>
      <c r="Y89" s="602"/>
      <c r="Z89" s="654">
        <f>Q89/2</f>
        <v>0</v>
      </c>
      <c r="AA89" s="617"/>
      <c r="AB89" s="400"/>
      <c r="AC89" s="397"/>
      <c r="AD89" s="654">
        <f>Q89/2</f>
        <v>0</v>
      </c>
      <c r="AE89" s="617"/>
      <c r="AF89" s="400"/>
      <c r="AG89" s="397"/>
      <c r="AI89" s="611"/>
      <c r="AJ89" s="612"/>
      <c r="AK89" s="613"/>
    </row>
    <row r="90" spans="1:37" ht="43.5" hidden="1" customHeight="1">
      <c r="A90" s="506"/>
      <c r="B90" s="497"/>
      <c r="C90" s="497"/>
      <c r="D90" s="497"/>
      <c r="E90" s="529" t="s">
        <v>638</v>
      </c>
      <c r="F90" s="667"/>
      <c r="G90" s="403"/>
      <c r="H90" s="404"/>
      <c r="I90" s="403"/>
      <c r="J90" s="390" t="s">
        <v>365</v>
      </c>
      <c r="K90" s="390" t="s">
        <v>229</v>
      </c>
      <c r="L90" s="416" t="s">
        <v>362</v>
      </c>
      <c r="M90" s="508" t="s">
        <v>515</v>
      </c>
      <c r="N90" s="408"/>
      <c r="O90" s="505"/>
      <c r="P90" s="505"/>
      <c r="Q90" s="505"/>
      <c r="R90" s="505"/>
      <c r="S90" s="505"/>
      <c r="T90" s="505"/>
      <c r="U90" s="502"/>
      <c r="V90" s="502"/>
      <c r="W90" s="603"/>
      <c r="X90" s="597"/>
      <c r="Y90" s="602"/>
      <c r="Z90" s="654">
        <f>Q90/2</f>
        <v>0</v>
      </c>
      <c r="AA90" s="617"/>
      <c r="AB90" s="400"/>
      <c r="AC90" s="397"/>
      <c r="AD90" s="654">
        <f>Q90/2</f>
        <v>0</v>
      </c>
      <c r="AE90" s="617"/>
      <c r="AF90" s="400"/>
      <c r="AG90" s="397"/>
      <c r="AI90" s="611"/>
      <c r="AJ90" s="612"/>
      <c r="AK90" s="613"/>
    </row>
    <row r="91" spans="1:37" ht="80.25" hidden="1" customHeight="1">
      <c r="A91" s="506"/>
      <c r="B91" s="497"/>
      <c r="C91" s="497"/>
      <c r="D91" s="497"/>
      <c r="E91" s="529" t="s">
        <v>639</v>
      </c>
      <c r="F91" s="667"/>
      <c r="G91" s="403"/>
      <c r="H91" s="404"/>
      <c r="I91" s="403"/>
      <c r="J91" s="390" t="s">
        <v>365</v>
      </c>
      <c r="K91" s="390" t="s">
        <v>229</v>
      </c>
      <c r="L91" s="416" t="s">
        <v>362</v>
      </c>
      <c r="M91" s="508" t="s">
        <v>515</v>
      </c>
      <c r="N91" s="408" t="s">
        <v>564</v>
      </c>
      <c r="O91" s="505"/>
      <c r="P91" s="505"/>
      <c r="Q91" s="505"/>
      <c r="R91" s="505"/>
      <c r="S91" s="505"/>
      <c r="T91" s="505"/>
      <c r="U91" s="502"/>
      <c r="V91" s="502"/>
      <c r="W91" s="603"/>
      <c r="X91" s="597"/>
      <c r="Y91" s="602"/>
      <c r="Z91" s="654">
        <f>Q91/2</f>
        <v>0</v>
      </c>
      <c r="AA91" s="617"/>
      <c r="AB91" s="400"/>
      <c r="AC91" s="397"/>
      <c r="AD91" s="654">
        <f>Q91/2</f>
        <v>0</v>
      </c>
      <c r="AE91" s="617"/>
      <c r="AF91" s="400"/>
      <c r="AG91" s="397"/>
      <c r="AI91" s="611"/>
      <c r="AJ91" s="612"/>
      <c r="AK91" s="613"/>
    </row>
    <row r="92" spans="1:37" ht="43.15" hidden="1" customHeight="1">
      <c r="A92" s="496">
        <v>22</v>
      </c>
      <c r="B92" s="497"/>
      <c r="C92" s="497" t="s">
        <v>537</v>
      </c>
      <c r="D92" s="497"/>
      <c r="E92" s="498" t="s">
        <v>536</v>
      </c>
      <c r="F92" s="668" t="s">
        <v>679</v>
      </c>
      <c r="G92" s="403" t="s">
        <v>607</v>
      </c>
      <c r="H92" s="404" t="s">
        <v>604</v>
      </c>
      <c r="I92" s="403" t="s">
        <v>538</v>
      </c>
      <c r="J92" s="390" t="s">
        <v>365</v>
      </c>
      <c r="K92" s="390" t="s">
        <v>229</v>
      </c>
      <c r="L92" s="416" t="s">
        <v>362</v>
      </c>
      <c r="M92" s="508" t="s">
        <v>515</v>
      </c>
      <c r="N92" s="408">
        <v>30</v>
      </c>
      <c r="O92" s="505"/>
      <c r="P92" s="505"/>
      <c r="Q92" s="505"/>
      <c r="R92" s="505"/>
      <c r="S92" s="505"/>
      <c r="T92" s="505"/>
      <c r="U92" s="502"/>
      <c r="V92" s="502"/>
      <c r="W92" s="603"/>
      <c r="X92" s="597"/>
      <c r="Y92" s="602"/>
      <c r="Z92" s="654">
        <f>Q92/2</f>
        <v>0</v>
      </c>
      <c r="AA92" s="617"/>
      <c r="AB92" s="400" t="e">
        <f t="shared" si="29"/>
        <v>#DIV/0!</v>
      </c>
      <c r="AC92" s="397"/>
      <c r="AD92" s="654">
        <f>Q92/2</f>
        <v>0</v>
      </c>
      <c r="AE92" s="617"/>
      <c r="AF92" s="400" t="e">
        <f t="shared" si="0"/>
        <v>#DIV/0!</v>
      </c>
      <c r="AG92" s="397"/>
      <c r="AI92" s="611"/>
      <c r="AJ92" s="612"/>
      <c r="AK92" s="613"/>
    </row>
    <row r="93" spans="1:37" s="550" customFormat="1" ht="35.1" hidden="1" customHeight="1">
      <c r="A93" s="573"/>
      <c r="B93" s="542"/>
      <c r="C93" s="542"/>
      <c r="D93" s="542"/>
      <c r="E93" s="518" t="s">
        <v>539</v>
      </c>
      <c r="F93" s="543"/>
      <c r="G93" s="544"/>
      <c r="H93" s="545"/>
      <c r="I93" s="544"/>
      <c r="J93" s="546"/>
      <c r="K93" s="546"/>
      <c r="L93" s="547"/>
      <c r="M93" s="548"/>
      <c r="N93" s="549"/>
      <c r="O93" s="406"/>
      <c r="P93" s="406"/>
      <c r="Q93" s="406"/>
      <c r="R93" s="406"/>
      <c r="S93" s="406"/>
      <c r="T93" s="406"/>
      <c r="U93" s="409"/>
      <c r="V93" s="409"/>
      <c r="W93" s="622"/>
      <c r="X93" s="623"/>
      <c r="Y93" s="624"/>
      <c r="Z93" s="625"/>
      <c r="AA93" s="617"/>
      <c r="AB93" s="626"/>
      <c r="AC93" s="543"/>
      <c r="AD93" s="625"/>
      <c r="AE93" s="617"/>
      <c r="AF93" s="626"/>
      <c r="AG93" s="543"/>
      <c r="AI93" s="611"/>
      <c r="AJ93" s="612"/>
      <c r="AK93" s="613"/>
    </row>
    <row r="94" spans="1:37" ht="66" hidden="1" customHeight="1">
      <c r="A94" s="496">
        <v>23</v>
      </c>
      <c r="B94" s="497"/>
      <c r="C94" s="497" t="s">
        <v>565</v>
      </c>
      <c r="D94" s="497"/>
      <c r="E94" s="528" t="s">
        <v>580</v>
      </c>
      <c r="F94" s="668" t="s">
        <v>679</v>
      </c>
      <c r="G94" s="403" t="s">
        <v>607</v>
      </c>
      <c r="H94" s="404" t="s">
        <v>604</v>
      </c>
      <c r="I94" s="403" t="s">
        <v>540</v>
      </c>
      <c r="J94" s="390" t="s">
        <v>365</v>
      </c>
      <c r="K94" s="390" t="s">
        <v>229</v>
      </c>
      <c r="L94" s="416"/>
      <c r="M94" s="408"/>
      <c r="N94" s="408"/>
      <c r="O94" s="505"/>
      <c r="P94" s="505"/>
      <c r="Q94" s="505"/>
      <c r="R94" s="505"/>
      <c r="S94" s="505"/>
      <c r="T94" s="505"/>
      <c r="U94" s="502"/>
      <c r="V94" s="502"/>
      <c r="W94" s="603"/>
      <c r="X94" s="597"/>
      <c r="Y94" s="602"/>
      <c r="Z94" s="654">
        <f t="shared" ref="Z94:Z100" si="32">Q94/2</f>
        <v>0</v>
      </c>
      <c r="AA94" s="617"/>
      <c r="AB94" s="400" t="e">
        <f t="shared" si="29"/>
        <v>#DIV/0!</v>
      </c>
      <c r="AC94" s="397"/>
      <c r="AD94" s="654">
        <f t="shared" ref="AD94:AD100" si="33">Q94/2</f>
        <v>0</v>
      </c>
      <c r="AE94" s="617"/>
      <c r="AF94" s="400" t="e">
        <f t="shared" si="0"/>
        <v>#DIV/0!</v>
      </c>
      <c r="AG94" s="397"/>
      <c r="AI94" s="611"/>
      <c r="AJ94" s="612"/>
      <c r="AK94" s="613"/>
    </row>
    <row r="95" spans="1:37" ht="66" hidden="1" customHeight="1">
      <c r="A95" s="506"/>
      <c r="B95" s="497"/>
      <c r="C95" s="497"/>
      <c r="D95" s="497"/>
      <c r="E95" s="529" t="s">
        <v>566</v>
      </c>
      <c r="F95" s="667"/>
      <c r="G95" s="403"/>
      <c r="H95" s="404"/>
      <c r="I95" s="403"/>
      <c r="J95" s="390" t="s">
        <v>365</v>
      </c>
      <c r="K95" s="390" t="s">
        <v>229</v>
      </c>
      <c r="L95" s="416" t="s">
        <v>435</v>
      </c>
      <c r="M95" s="408">
        <v>5721</v>
      </c>
      <c r="N95" s="408">
        <v>40000</v>
      </c>
      <c r="O95" s="505"/>
      <c r="P95" s="505"/>
      <c r="Q95" s="505"/>
      <c r="R95" s="505"/>
      <c r="S95" s="505"/>
      <c r="T95" s="505"/>
      <c r="U95" s="502"/>
      <c r="V95" s="502"/>
      <c r="W95" s="603"/>
      <c r="X95" s="597"/>
      <c r="Y95" s="602"/>
      <c r="Z95" s="654">
        <f t="shared" si="32"/>
        <v>0</v>
      </c>
      <c r="AA95" s="617"/>
      <c r="AB95" s="400"/>
      <c r="AC95" s="397"/>
      <c r="AD95" s="654">
        <f t="shared" si="33"/>
        <v>0</v>
      </c>
      <c r="AE95" s="617"/>
      <c r="AF95" s="400"/>
      <c r="AG95" s="397"/>
      <c r="AI95" s="611"/>
      <c r="AJ95" s="612"/>
      <c r="AK95" s="613"/>
    </row>
    <row r="96" spans="1:37" ht="66" hidden="1" customHeight="1">
      <c r="A96" s="506"/>
      <c r="B96" s="497"/>
      <c r="C96" s="497"/>
      <c r="D96" s="497"/>
      <c r="E96" s="529" t="s">
        <v>633</v>
      </c>
      <c r="F96" s="667"/>
      <c r="G96" s="403"/>
      <c r="H96" s="404"/>
      <c r="I96" s="403"/>
      <c r="J96" s="390" t="s">
        <v>365</v>
      </c>
      <c r="K96" s="390" t="s">
        <v>229</v>
      </c>
      <c r="L96" s="416" t="s">
        <v>435</v>
      </c>
      <c r="M96" s="407">
        <f>25%*M95</f>
        <v>1430.25</v>
      </c>
      <c r="N96" s="408">
        <f>25%*N95</f>
        <v>10000</v>
      </c>
      <c r="O96" s="505"/>
      <c r="P96" s="505"/>
      <c r="Q96" s="505"/>
      <c r="R96" s="505"/>
      <c r="S96" s="505"/>
      <c r="T96" s="505"/>
      <c r="U96" s="502"/>
      <c r="V96" s="502"/>
      <c r="W96" s="603"/>
      <c r="X96" s="597"/>
      <c r="Y96" s="602"/>
      <c r="Z96" s="654">
        <f t="shared" si="32"/>
        <v>0</v>
      </c>
      <c r="AA96" s="617"/>
      <c r="AB96" s="400"/>
      <c r="AC96" s="397"/>
      <c r="AD96" s="654">
        <f t="shared" si="33"/>
        <v>0</v>
      </c>
      <c r="AE96" s="617"/>
      <c r="AF96" s="400"/>
      <c r="AG96" s="397"/>
      <c r="AI96" s="611"/>
      <c r="AJ96" s="612"/>
      <c r="AK96" s="613"/>
    </row>
    <row r="97" spans="1:37" ht="66" hidden="1" customHeight="1">
      <c r="A97" s="506"/>
      <c r="B97" s="497"/>
      <c r="C97" s="497"/>
      <c r="D97" s="497"/>
      <c r="E97" s="529" t="s">
        <v>634</v>
      </c>
      <c r="F97" s="667"/>
      <c r="G97" s="403"/>
      <c r="H97" s="404"/>
      <c r="I97" s="403"/>
      <c r="J97" s="390" t="s">
        <v>365</v>
      </c>
      <c r="K97" s="390" t="s">
        <v>229</v>
      </c>
      <c r="L97" s="416" t="s">
        <v>435</v>
      </c>
      <c r="M97" s="407">
        <f>25%*M95</f>
        <v>1430.25</v>
      </c>
      <c r="N97" s="408">
        <f>25%*N95</f>
        <v>10000</v>
      </c>
      <c r="O97" s="505"/>
      <c r="P97" s="505"/>
      <c r="Q97" s="505"/>
      <c r="R97" s="505"/>
      <c r="S97" s="505"/>
      <c r="T97" s="505"/>
      <c r="U97" s="502"/>
      <c r="V97" s="502"/>
      <c r="W97" s="603"/>
      <c r="X97" s="597"/>
      <c r="Y97" s="602"/>
      <c r="Z97" s="654">
        <f t="shared" si="32"/>
        <v>0</v>
      </c>
      <c r="AA97" s="617"/>
      <c r="AB97" s="400"/>
      <c r="AC97" s="397"/>
      <c r="AD97" s="654">
        <f t="shared" si="33"/>
        <v>0</v>
      </c>
      <c r="AE97" s="617"/>
      <c r="AF97" s="400"/>
      <c r="AG97" s="397"/>
      <c r="AI97" s="611"/>
      <c r="AJ97" s="612"/>
      <c r="AK97" s="613"/>
    </row>
    <row r="98" spans="1:37" ht="43.15" hidden="1" customHeight="1">
      <c r="A98" s="496">
        <v>24</v>
      </c>
      <c r="B98" s="497"/>
      <c r="C98" s="497" t="s">
        <v>567</v>
      </c>
      <c r="D98" s="497"/>
      <c r="E98" s="528" t="s">
        <v>581</v>
      </c>
      <c r="F98" s="668" t="s">
        <v>679</v>
      </c>
      <c r="G98" s="403" t="s">
        <v>607</v>
      </c>
      <c r="H98" s="404" t="s">
        <v>604</v>
      </c>
      <c r="I98" s="403" t="s">
        <v>541</v>
      </c>
      <c r="J98" s="390" t="s">
        <v>365</v>
      </c>
      <c r="K98" s="390" t="s">
        <v>229</v>
      </c>
      <c r="L98" s="416" t="s">
        <v>362</v>
      </c>
      <c r="M98" s="508" t="s">
        <v>515</v>
      </c>
      <c r="N98" s="408"/>
      <c r="O98" s="505"/>
      <c r="P98" s="505"/>
      <c r="Q98" s="505"/>
      <c r="R98" s="505"/>
      <c r="S98" s="505"/>
      <c r="T98" s="505"/>
      <c r="U98" s="502"/>
      <c r="V98" s="502"/>
      <c r="W98" s="603"/>
      <c r="X98" s="597"/>
      <c r="Y98" s="602"/>
      <c r="Z98" s="654">
        <f t="shared" si="32"/>
        <v>0</v>
      </c>
      <c r="AA98" s="617"/>
      <c r="AB98" s="400" t="e">
        <f t="shared" si="29"/>
        <v>#DIV/0!</v>
      </c>
      <c r="AC98" s="397"/>
      <c r="AD98" s="654">
        <f t="shared" si="33"/>
        <v>0</v>
      </c>
      <c r="AE98" s="617"/>
      <c r="AF98" s="400" t="e">
        <f t="shared" si="0"/>
        <v>#DIV/0!</v>
      </c>
      <c r="AG98" s="397"/>
      <c r="AI98" s="611"/>
      <c r="AJ98" s="612"/>
      <c r="AK98" s="613"/>
    </row>
    <row r="99" spans="1:37" ht="43.15" hidden="1" customHeight="1">
      <c r="A99" s="506"/>
      <c r="B99" s="497"/>
      <c r="C99" s="497"/>
      <c r="D99" s="497"/>
      <c r="E99" s="529" t="s">
        <v>635</v>
      </c>
      <c r="F99" s="667" t="s">
        <v>570</v>
      </c>
      <c r="G99" s="403"/>
      <c r="H99" s="404"/>
      <c r="I99" s="403"/>
      <c r="J99" s="390" t="s">
        <v>365</v>
      </c>
      <c r="K99" s="390" t="s">
        <v>229</v>
      </c>
      <c r="L99" s="416" t="s">
        <v>435</v>
      </c>
      <c r="M99" s="508" t="s">
        <v>515</v>
      </c>
      <c r="N99" s="519" t="s">
        <v>568</v>
      </c>
      <c r="O99" s="505"/>
      <c r="P99" s="505"/>
      <c r="Q99" s="505"/>
      <c r="R99" s="505"/>
      <c r="S99" s="505"/>
      <c r="T99" s="505"/>
      <c r="U99" s="502"/>
      <c r="V99" s="502"/>
      <c r="W99" s="603"/>
      <c r="X99" s="597"/>
      <c r="Y99" s="602"/>
      <c r="Z99" s="654">
        <f t="shared" si="32"/>
        <v>0</v>
      </c>
      <c r="AA99" s="617"/>
      <c r="AB99" s="400"/>
      <c r="AC99" s="397"/>
      <c r="AD99" s="654">
        <f t="shared" si="33"/>
        <v>0</v>
      </c>
      <c r="AE99" s="617"/>
      <c r="AF99" s="400"/>
      <c r="AG99" s="397"/>
      <c r="AI99" s="611"/>
      <c r="AJ99" s="612"/>
      <c r="AK99" s="613"/>
    </row>
    <row r="100" spans="1:37" ht="43.15" hidden="1" customHeight="1">
      <c r="A100" s="506"/>
      <c r="B100" s="497"/>
      <c r="C100" s="497"/>
      <c r="D100" s="497"/>
      <c r="E100" s="529" t="s">
        <v>636</v>
      </c>
      <c r="F100" s="667" t="s">
        <v>570</v>
      </c>
      <c r="G100" s="403"/>
      <c r="H100" s="404"/>
      <c r="I100" s="403"/>
      <c r="J100" s="390" t="s">
        <v>365</v>
      </c>
      <c r="K100" s="390" t="s">
        <v>229</v>
      </c>
      <c r="L100" s="416" t="s">
        <v>362</v>
      </c>
      <c r="M100" s="508" t="s">
        <v>515</v>
      </c>
      <c r="N100" s="519" t="s">
        <v>568</v>
      </c>
      <c r="O100" s="505"/>
      <c r="P100" s="505"/>
      <c r="Q100" s="505"/>
      <c r="R100" s="505"/>
      <c r="S100" s="505"/>
      <c r="T100" s="505"/>
      <c r="U100" s="502"/>
      <c r="V100" s="502"/>
      <c r="W100" s="603"/>
      <c r="X100" s="597"/>
      <c r="Y100" s="602"/>
      <c r="Z100" s="654">
        <f t="shared" si="32"/>
        <v>0</v>
      </c>
      <c r="AA100" s="617"/>
      <c r="AB100" s="400"/>
      <c r="AC100" s="397"/>
      <c r="AD100" s="654">
        <f t="shared" si="33"/>
        <v>0</v>
      </c>
      <c r="AE100" s="617"/>
      <c r="AF100" s="400"/>
      <c r="AG100" s="397"/>
      <c r="AI100" s="611"/>
      <c r="AJ100" s="612"/>
      <c r="AK100" s="613"/>
    </row>
    <row r="101" spans="1:37" s="550" customFormat="1" ht="35.1" hidden="1" customHeight="1">
      <c r="A101" s="573"/>
      <c r="B101" s="551"/>
      <c r="C101" s="551"/>
      <c r="D101" s="551"/>
      <c r="E101" s="561" t="s">
        <v>542</v>
      </c>
      <c r="F101" s="552"/>
      <c r="G101" s="553"/>
      <c r="H101" s="554"/>
      <c r="I101" s="553"/>
      <c r="J101" s="555"/>
      <c r="K101" s="555"/>
      <c r="L101" s="556"/>
      <c r="M101" s="557"/>
      <c r="N101" s="558"/>
      <c r="O101" s="614"/>
      <c r="P101" s="614"/>
      <c r="Q101" s="614"/>
      <c r="R101" s="614"/>
      <c r="S101" s="614"/>
      <c r="T101" s="614"/>
      <c r="U101" s="615"/>
      <c r="V101" s="615"/>
      <c r="W101" s="662"/>
      <c r="X101" s="664"/>
      <c r="Y101" s="665"/>
      <c r="Z101" s="627"/>
      <c r="AA101" s="628"/>
      <c r="AB101" s="629"/>
      <c r="AC101" s="552"/>
      <c r="AD101" s="627"/>
      <c r="AE101" s="628"/>
      <c r="AF101" s="629"/>
      <c r="AG101" s="552"/>
      <c r="AI101" s="611"/>
      <c r="AJ101" s="612"/>
      <c r="AK101" s="613"/>
    </row>
    <row r="102" spans="1:37" s="550" customFormat="1" ht="35.1" hidden="1" customHeight="1">
      <c r="A102" s="573"/>
      <c r="B102" s="542"/>
      <c r="C102" s="542"/>
      <c r="D102" s="542"/>
      <c r="E102" s="518" t="s">
        <v>543</v>
      </c>
      <c r="F102" s="543"/>
      <c r="G102" s="544"/>
      <c r="H102" s="545"/>
      <c r="I102" s="544"/>
      <c r="J102" s="546"/>
      <c r="K102" s="546"/>
      <c r="L102" s="547"/>
      <c r="M102" s="548"/>
      <c r="N102" s="549"/>
      <c r="O102" s="406"/>
      <c r="P102" s="406"/>
      <c r="Q102" s="406"/>
      <c r="R102" s="406"/>
      <c r="S102" s="406"/>
      <c r="T102" s="406"/>
      <c r="U102" s="409"/>
      <c r="V102" s="409"/>
      <c r="W102" s="622"/>
      <c r="X102" s="623"/>
      <c r="Y102" s="624"/>
      <c r="Z102" s="625"/>
      <c r="AA102" s="617"/>
      <c r="AB102" s="626"/>
      <c r="AC102" s="543"/>
      <c r="AD102" s="625"/>
      <c r="AE102" s="617"/>
      <c r="AF102" s="626"/>
      <c r="AG102" s="543"/>
      <c r="AI102" s="611"/>
      <c r="AJ102" s="612"/>
      <c r="AK102" s="613"/>
    </row>
    <row r="103" spans="1:37" ht="43.15" hidden="1" customHeight="1">
      <c r="A103" s="496">
        <v>25</v>
      </c>
      <c r="B103" s="497"/>
      <c r="C103" s="497" t="s">
        <v>571</v>
      </c>
      <c r="D103" s="497"/>
      <c r="E103" s="528" t="s">
        <v>613</v>
      </c>
      <c r="F103" s="668" t="s">
        <v>679</v>
      </c>
      <c r="G103" s="403" t="s">
        <v>607</v>
      </c>
      <c r="H103" s="404" t="s">
        <v>604</v>
      </c>
      <c r="I103" s="403" t="s">
        <v>538</v>
      </c>
      <c r="J103" s="390" t="s">
        <v>365</v>
      </c>
      <c r="K103" s="390" t="s">
        <v>229</v>
      </c>
      <c r="L103" s="416"/>
      <c r="M103" s="508" t="s">
        <v>515</v>
      </c>
      <c r="N103" s="408"/>
      <c r="O103" s="505"/>
      <c r="P103" s="505"/>
      <c r="Q103" s="505"/>
      <c r="R103" s="505"/>
      <c r="S103" s="505"/>
      <c r="T103" s="505"/>
      <c r="U103" s="502"/>
      <c r="V103" s="502"/>
      <c r="W103" s="603"/>
      <c r="X103" s="597"/>
      <c r="Y103" s="602"/>
      <c r="Z103" s="654">
        <f t="shared" ref="Z103:Z119" si="34">Q103/2</f>
        <v>0</v>
      </c>
      <c r="AA103" s="617"/>
      <c r="AB103" s="400" t="e">
        <f t="shared" si="29"/>
        <v>#DIV/0!</v>
      </c>
      <c r="AC103" s="397"/>
      <c r="AD103" s="654">
        <f t="shared" ref="AD103:AD119" si="35">Q103/2</f>
        <v>0</v>
      </c>
      <c r="AE103" s="617"/>
      <c r="AF103" s="400" t="e">
        <f t="shared" si="0"/>
        <v>#DIV/0!</v>
      </c>
      <c r="AG103" s="397"/>
      <c r="AI103" s="611"/>
      <c r="AJ103" s="612"/>
      <c r="AK103" s="613"/>
    </row>
    <row r="104" spans="1:37" ht="43.15" hidden="1" customHeight="1">
      <c r="A104" s="506"/>
      <c r="B104" s="497"/>
      <c r="C104" s="497"/>
      <c r="D104" s="497"/>
      <c r="E104" s="503" t="s">
        <v>572</v>
      </c>
      <c r="F104" s="667" t="s">
        <v>570</v>
      </c>
      <c r="G104" s="403"/>
      <c r="H104" s="404"/>
      <c r="I104" s="403"/>
      <c r="J104" s="390" t="s">
        <v>365</v>
      </c>
      <c r="K104" s="390" t="s">
        <v>229</v>
      </c>
      <c r="L104" s="416" t="s">
        <v>435</v>
      </c>
      <c r="M104" s="508" t="s">
        <v>515</v>
      </c>
      <c r="N104" s="519" t="s">
        <v>568</v>
      </c>
      <c r="O104" s="505"/>
      <c r="P104" s="505"/>
      <c r="Q104" s="505"/>
      <c r="R104" s="505"/>
      <c r="S104" s="505"/>
      <c r="T104" s="505"/>
      <c r="U104" s="502"/>
      <c r="V104" s="502"/>
      <c r="W104" s="603"/>
      <c r="X104" s="597"/>
      <c r="Y104" s="602"/>
      <c r="Z104" s="654">
        <f t="shared" si="34"/>
        <v>0</v>
      </c>
      <c r="AA104" s="617"/>
      <c r="AB104" s="400"/>
      <c r="AC104" s="397"/>
      <c r="AD104" s="654">
        <f t="shared" si="35"/>
        <v>0</v>
      </c>
      <c r="AE104" s="617"/>
      <c r="AF104" s="400"/>
      <c r="AG104" s="397"/>
      <c r="AI104" s="611"/>
      <c r="AJ104" s="612"/>
      <c r="AK104" s="613"/>
    </row>
    <row r="105" spans="1:37" ht="43.15" hidden="1" customHeight="1">
      <c r="A105" s="506"/>
      <c r="B105" s="497"/>
      <c r="C105" s="497"/>
      <c r="D105" s="497"/>
      <c r="E105" s="503" t="s">
        <v>573</v>
      </c>
      <c r="F105" s="667" t="s">
        <v>570</v>
      </c>
      <c r="G105" s="403"/>
      <c r="H105" s="404"/>
      <c r="I105" s="403"/>
      <c r="J105" s="390" t="s">
        <v>365</v>
      </c>
      <c r="K105" s="390" t="s">
        <v>229</v>
      </c>
      <c r="L105" s="416" t="s">
        <v>362</v>
      </c>
      <c r="M105" s="508" t="s">
        <v>515</v>
      </c>
      <c r="N105" s="519" t="s">
        <v>568</v>
      </c>
      <c r="O105" s="505"/>
      <c r="P105" s="505"/>
      <c r="Q105" s="505"/>
      <c r="R105" s="505"/>
      <c r="S105" s="505"/>
      <c r="T105" s="505"/>
      <c r="U105" s="502"/>
      <c r="V105" s="502"/>
      <c r="W105" s="603"/>
      <c r="X105" s="597"/>
      <c r="Y105" s="602"/>
      <c r="Z105" s="654">
        <f t="shared" si="34"/>
        <v>0</v>
      </c>
      <c r="AA105" s="617"/>
      <c r="AB105" s="400"/>
      <c r="AC105" s="397"/>
      <c r="AD105" s="654">
        <f t="shared" si="35"/>
        <v>0</v>
      </c>
      <c r="AE105" s="617"/>
      <c r="AF105" s="400"/>
      <c r="AG105" s="397"/>
      <c r="AI105" s="611"/>
      <c r="AJ105" s="612"/>
      <c r="AK105" s="613"/>
    </row>
    <row r="106" spans="1:37" ht="137.25" hidden="1" customHeight="1">
      <c r="A106" s="496">
        <v>26</v>
      </c>
      <c r="B106" s="497"/>
      <c r="C106" s="497" t="s">
        <v>574</v>
      </c>
      <c r="D106" s="497"/>
      <c r="E106" s="528" t="s">
        <v>569</v>
      </c>
      <c r="F106" s="668" t="s">
        <v>679</v>
      </c>
      <c r="G106" s="403" t="s">
        <v>607</v>
      </c>
      <c r="H106" s="404" t="s">
        <v>604</v>
      </c>
      <c r="I106" s="403" t="s">
        <v>544</v>
      </c>
      <c r="J106" s="390"/>
      <c r="K106" s="390"/>
      <c r="L106" s="416"/>
      <c r="M106" s="407"/>
      <c r="N106" s="408"/>
      <c r="O106" s="505"/>
      <c r="P106" s="505"/>
      <c r="Q106" s="505"/>
      <c r="R106" s="505"/>
      <c r="S106" s="505"/>
      <c r="T106" s="505"/>
      <c r="U106" s="502"/>
      <c r="V106" s="502"/>
      <c r="W106" s="603"/>
      <c r="X106" s="597"/>
      <c r="Y106" s="602"/>
      <c r="Z106" s="654">
        <f t="shared" si="34"/>
        <v>0</v>
      </c>
      <c r="AA106" s="617"/>
      <c r="AB106" s="400" t="e">
        <f t="shared" si="29"/>
        <v>#DIV/0!</v>
      </c>
      <c r="AC106" s="397"/>
      <c r="AD106" s="654">
        <f t="shared" si="35"/>
        <v>0</v>
      </c>
      <c r="AE106" s="617"/>
      <c r="AF106" s="400" t="e">
        <f t="shared" si="0"/>
        <v>#DIV/0!</v>
      </c>
      <c r="AG106" s="397"/>
      <c r="AI106" s="611"/>
      <c r="AJ106" s="612"/>
      <c r="AK106" s="613"/>
    </row>
    <row r="107" spans="1:37" ht="52.5" hidden="1" customHeight="1">
      <c r="A107" s="506"/>
      <c r="B107" s="497"/>
      <c r="C107" s="497"/>
      <c r="D107" s="497"/>
      <c r="E107" s="529" t="s">
        <v>654</v>
      </c>
      <c r="F107" s="667"/>
      <c r="G107" s="403"/>
      <c r="H107" s="404"/>
      <c r="I107" s="403"/>
      <c r="J107" s="390" t="s">
        <v>365</v>
      </c>
      <c r="K107" s="390" t="s">
        <v>229</v>
      </c>
      <c r="L107" s="416" t="s">
        <v>435</v>
      </c>
      <c r="M107" s="508" t="s">
        <v>515</v>
      </c>
      <c r="N107" s="408">
        <f>16000/2</f>
        <v>8000</v>
      </c>
      <c r="O107" s="505"/>
      <c r="P107" s="505"/>
      <c r="Q107" s="505"/>
      <c r="R107" s="505"/>
      <c r="S107" s="505"/>
      <c r="T107" s="505"/>
      <c r="U107" s="502"/>
      <c r="V107" s="502"/>
      <c r="W107" s="603"/>
      <c r="X107" s="597"/>
      <c r="Y107" s="602"/>
      <c r="Z107" s="654">
        <f t="shared" si="34"/>
        <v>0</v>
      </c>
      <c r="AA107" s="617"/>
      <c r="AB107" s="400"/>
      <c r="AC107" s="397"/>
      <c r="AD107" s="654">
        <f t="shared" si="35"/>
        <v>0</v>
      </c>
      <c r="AE107" s="617"/>
      <c r="AF107" s="400"/>
      <c r="AG107" s="397"/>
      <c r="AI107" s="611"/>
      <c r="AJ107" s="612"/>
      <c r="AK107" s="613"/>
    </row>
    <row r="108" spans="1:37" ht="54" hidden="1" customHeight="1">
      <c r="A108" s="506"/>
      <c r="B108" s="497"/>
      <c r="C108" s="497"/>
      <c r="D108" s="497"/>
      <c r="E108" s="529" t="s">
        <v>655</v>
      </c>
      <c r="F108" s="667"/>
      <c r="G108" s="403"/>
      <c r="H108" s="404"/>
      <c r="I108" s="403"/>
      <c r="J108" s="390" t="s">
        <v>365</v>
      </c>
      <c r="K108" s="390" t="s">
        <v>229</v>
      </c>
      <c r="L108" s="416" t="s">
        <v>435</v>
      </c>
      <c r="M108" s="508" t="s">
        <v>515</v>
      </c>
      <c r="N108" s="408">
        <f>16000/2</f>
        <v>8000</v>
      </c>
      <c r="O108" s="505"/>
      <c r="P108" s="505"/>
      <c r="Q108" s="505"/>
      <c r="R108" s="505"/>
      <c r="S108" s="505"/>
      <c r="T108" s="505"/>
      <c r="U108" s="502"/>
      <c r="V108" s="502"/>
      <c r="W108" s="603"/>
      <c r="X108" s="597"/>
      <c r="Y108" s="602"/>
      <c r="Z108" s="654">
        <f t="shared" si="34"/>
        <v>0</v>
      </c>
      <c r="AA108" s="617"/>
      <c r="AB108" s="400"/>
      <c r="AC108" s="397"/>
      <c r="AD108" s="654">
        <f t="shared" si="35"/>
        <v>0</v>
      </c>
      <c r="AE108" s="617"/>
      <c r="AF108" s="400"/>
      <c r="AG108" s="397"/>
      <c r="AI108" s="611"/>
      <c r="AJ108" s="612"/>
      <c r="AK108" s="613"/>
    </row>
    <row r="109" spans="1:37" ht="35.1" hidden="1" customHeight="1">
      <c r="A109" s="506"/>
      <c r="B109" s="497"/>
      <c r="C109" s="497"/>
      <c r="D109" s="497"/>
      <c r="E109" s="529" t="s">
        <v>640</v>
      </c>
      <c r="F109" s="667"/>
      <c r="G109" s="403"/>
      <c r="H109" s="404"/>
      <c r="I109" s="403"/>
      <c r="J109" s="390" t="s">
        <v>365</v>
      </c>
      <c r="K109" s="390" t="s">
        <v>229</v>
      </c>
      <c r="L109" s="416" t="s">
        <v>362</v>
      </c>
      <c r="M109" s="508" t="s">
        <v>515</v>
      </c>
      <c r="N109" s="408">
        <v>54</v>
      </c>
      <c r="O109" s="505"/>
      <c r="P109" s="505"/>
      <c r="Q109" s="505"/>
      <c r="R109" s="505"/>
      <c r="S109" s="505"/>
      <c r="T109" s="505"/>
      <c r="U109" s="502"/>
      <c r="V109" s="502"/>
      <c r="W109" s="603"/>
      <c r="X109" s="597"/>
      <c r="Y109" s="602"/>
      <c r="Z109" s="654">
        <f t="shared" si="34"/>
        <v>0</v>
      </c>
      <c r="AA109" s="617"/>
      <c r="AB109" s="400"/>
      <c r="AC109" s="397"/>
      <c r="AD109" s="654">
        <f t="shared" si="35"/>
        <v>0</v>
      </c>
      <c r="AE109" s="617"/>
      <c r="AF109" s="400"/>
      <c r="AG109" s="397"/>
      <c r="AI109" s="611"/>
      <c r="AJ109" s="612"/>
      <c r="AK109" s="613"/>
    </row>
    <row r="110" spans="1:37" ht="35.1" hidden="1" customHeight="1">
      <c r="A110" s="506"/>
      <c r="B110" s="497"/>
      <c r="C110" s="497"/>
      <c r="D110" s="497"/>
      <c r="E110" s="529" t="s">
        <v>641</v>
      </c>
      <c r="F110" s="667"/>
      <c r="G110" s="403"/>
      <c r="H110" s="404"/>
      <c r="I110" s="403"/>
      <c r="J110" s="390" t="s">
        <v>365</v>
      </c>
      <c r="K110" s="390" t="s">
        <v>229</v>
      </c>
      <c r="L110" s="416" t="s">
        <v>362</v>
      </c>
      <c r="M110" s="508" t="s">
        <v>515</v>
      </c>
      <c r="N110" s="408">
        <v>47</v>
      </c>
      <c r="O110" s="505"/>
      <c r="P110" s="505"/>
      <c r="Q110" s="505"/>
      <c r="R110" s="505"/>
      <c r="S110" s="505"/>
      <c r="T110" s="505"/>
      <c r="U110" s="502"/>
      <c r="V110" s="502"/>
      <c r="W110" s="603"/>
      <c r="X110" s="597"/>
      <c r="Y110" s="602"/>
      <c r="Z110" s="654">
        <f t="shared" si="34"/>
        <v>0</v>
      </c>
      <c r="AA110" s="617"/>
      <c r="AB110" s="400"/>
      <c r="AC110" s="397"/>
      <c r="AD110" s="654">
        <f t="shared" si="35"/>
        <v>0</v>
      </c>
      <c r="AE110" s="617"/>
      <c r="AF110" s="400"/>
      <c r="AG110" s="397"/>
      <c r="AI110" s="611"/>
      <c r="AJ110" s="612"/>
      <c r="AK110" s="613"/>
    </row>
    <row r="111" spans="1:37" ht="35.1" hidden="1" customHeight="1">
      <c r="A111" s="506"/>
      <c r="B111" s="497"/>
      <c r="C111" s="497"/>
      <c r="D111" s="497"/>
      <c r="E111" s="529" t="s">
        <v>642</v>
      </c>
      <c r="F111" s="667"/>
      <c r="G111" s="403"/>
      <c r="H111" s="404"/>
      <c r="I111" s="403"/>
      <c r="J111" s="390" t="s">
        <v>365</v>
      </c>
      <c r="K111" s="390" t="s">
        <v>229</v>
      </c>
      <c r="L111" s="416" t="s">
        <v>362</v>
      </c>
      <c r="M111" s="508" t="s">
        <v>515</v>
      </c>
      <c r="N111" s="408">
        <v>48</v>
      </c>
      <c r="O111" s="505"/>
      <c r="P111" s="505"/>
      <c r="Q111" s="505"/>
      <c r="R111" s="505"/>
      <c r="S111" s="505"/>
      <c r="T111" s="505"/>
      <c r="U111" s="502"/>
      <c r="V111" s="502"/>
      <c r="W111" s="603"/>
      <c r="X111" s="597"/>
      <c r="Y111" s="602"/>
      <c r="Z111" s="654">
        <f t="shared" si="34"/>
        <v>0</v>
      </c>
      <c r="AA111" s="617"/>
      <c r="AB111" s="400"/>
      <c r="AC111" s="397"/>
      <c r="AD111" s="654">
        <f t="shared" si="35"/>
        <v>0</v>
      </c>
      <c r="AE111" s="617"/>
      <c r="AF111" s="400"/>
      <c r="AG111" s="397"/>
      <c r="AI111" s="611"/>
      <c r="AJ111" s="612"/>
      <c r="AK111" s="613"/>
    </row>
    <row r="112" spans="1:37" ht="35.1" hidden="1" customHeight="1">
      <c r="A112" s="506"/>
      <c r="B112" s="497"/>
      <c r="C112" s="497"/>
      <c r="D112" s="497"/>
      <c r="E112" s="529" t="s">
        <v>643</v>
      </c>
      <c r="F112" s="667"/>
      <c r="G112" s="403"/>
      <c r="H112" s="404"/>
      <c r="I112" s="403"/>
      <c r="J112" s="390" t="s">
        <v>365</v>
      </c>
      <c r="K112" s="390" t="s">
        <v>229</v>
      </c>
      <c r="L112" s="416" t="s">
        <v>362</v>
      </c>
      <c r="M112" s="508" t="s">
        <v>515</v>
      </c>
      <c r="N112" s="408">
        <v>30</v>
      </c>
      <c r="O112" s="505"/>
      <c r="P112" s="505"/>
      <c r="Q112" s="505"/>
      <c r="R112" s="505"/>
      <c r="S112" s="505"/>
      <c r="T112" s="505"/>
      <c r="U112" s="502"/>
      <c r="V112" s="502"/>
      <c r="W112" s="603"/>
      <c r="X112" s="597"/>
      <c r="Y112" s="602"/>
      <c r="Z112" s="654">
        <f t="shared" si="34"/>
        <v>0</v>
      </c>
      <c r="AA112" s="617"/>
      <c r="AB112" s="400"/>
      <c r="AC112" s="397"/>
      <c r="AD112" s="654">
        <f t="shared" si="35"/>
        <v>0</v>
      </c>
      <c r="AE112" s="617"/>
      <c r="AF112" s="400"/>
      <c r="AG112" s="397"/>
      <c r="AI112" s="611"/>
      <c r="AJ112" s="612"/>
      <c r="AK112" s="613"/>
    </row>
    <row r="113" spans="1:37" ht="94.9" hidden="1" customHeight="1">
      <c r="A113" s="496">
        <v>27</v>
      </c>
      <c r="B113" s="497"/>
      <c r="C113" s="497"/>
      <c r="D113" s="497"/>
      <c r="E113" s="528" t="s">
        <v>575</v>
      </c>
      <c r="F113" s="668" t="s">
        <v>679</v>
      </c>
      <c r="G113" s="403" t="s">
        <v>607</v>
      </c>
      <c r="H113" s="404" t="s">
        <v>604</v>
      </c>
      <c r="I113" s="403" t="s">
        <v>545</v>
      </c>
      <c r="J113" s="390"/>
      <c r="K113" s="390"/>
      <c r="L113" s="416"/>
      <c r="M113" s="505"/>
      <c r="N113" s="408"/>
      <c r="O113" s="505"/>
      <c r="P113" s="505"/>
      <c r="Q113" s="505"/>
      <c r="R113" s="505"/>
      <c r="S113" s="505"/>
      <c r="T113" s="505"/>
      <c r="U113" s="502"/>
      <c r="V113" s="502"/>
      <c r="W113" s="603"/>
      <c r="X113" s="597"/>
      <c r="Y113" s="602"/>
      <c r="Z113" s="654">
        <f t="shared" si="34"/>
        <v>0</v>
      </c>
      <c r="AA113" s="617"/>
      <c r="AB113" s="400" t="e">
        <f t="shared" si="29"/>
        <v>#DIV/0!</v>
      </c>
      <c r="AC113" s="397"/>
      <c r="AD113" s="654">
        <f t="shared" si="35"/>
        <v>0</v>
      </c>
      <c r="AE113" s="617"/>
      <c r="AF113" s="400" t="e">
        <f t="shared" si="0"/>
        <v>#DIV/0!</v>
      </c>
      <c r="AG113" s="397"/>
      <c r="AI113" s="611"/>
      <c r="AJ113" s="612"/>
      <c r="AK113" s="613"/>
    </row>
    <row r="114" spans="1:37" s="593" customFormat="1" ht="35.1" hidden="1" customHeight="1">
      <c r="A114" s="585"/>
      <c r="B114" s="529"/>
      <c r="C114" s="529"/>
      <c r="D114" s="529"/>
      <c r="E114" s="529" t="s">
        <v>644</v>
      </c>
      <c r="F114" s="667"/>
      <c r="G114" s="587"/>
      <c r="H114" s="587"/>
      <c r="I114" s="587"/>
      <c r="J114" s="588" t="s">
        <v>365</v>
      </c>
      <c r="K114" s="588" t="s">
        <v>229</v>
      </c>
      <c r="L114" s="589" t="s">
        <v>435</v>
      </c>
      <c r="M114" s="590">
        <v>0</v>
      </c>
      <c r="N114" s="591" t="s">
        <v>568</v>
      </c>
      <c r="O114" s="505"/>
      <c r="P114" s="505"/>
      <c r="Q114" s="505"/>
      <c r="R114" s="505"/>
      <c r="S114" s="505"/>
      <c r="T114" s="505"/>
      <c r="U114" s="502"/>
      <c r="V114" s="502"/>
      <c r="W114" s="603"/>
      <c r="X114" s="597"/>
      <c r="Y114" s="602"/>
      <c r="Z114" s="654">
        <f t="shared" si="34"/>
        <v>0</v>
      </c>
      <c r="AA114" s="617"/>
      <c r="AB114" s="592"/>
      <c r="AC114" s="586"/>
      <c r="AD114" s="654">
        <f t="shared" si="35"/>
        <v>0</v>
      </c>
      <c r="AE114" s="617"/>
      <c r="AF114" s="592"/>
      <c r="AG114" s="586"/>
      <c r="AI114" s="611"/>
      <c r="AJ114" s="612"/>
      <c r="AK114" s="613"/>
    </row>
    <row r="115" spans="1:37" s="593" customFormat="1" ht="35.1" hidden="1" customHeight="1">
      <c r="A115" s="585"/>
      <c r="B115" s="529"/>
      <c r="C115" s="529"/>
      <c r="D115" s="529"/>
      <c r="E115" s="529" t="s">
        <v>645</v>
      </c>
      <c r="F115" s="667"/>
      <c r="G115" s="587"/>
      <c r="H115" s="587"/>
      <c r="I115" s="587"/>
      <c r="J115" s="588" t="s">
        <v>365</v>
      </c>
      <c r="K115" s="588" t="s">
        <v>229</v>
      </c>
      <c r="L115" s="589" t="s">
        <v>362</v>
      </c>
      <c r="M115" s="590">
        <v>0</v>
      </c>
      <c r="N115" s="591" t="s">
        <v>568</v>
      </c>
      <c r="O115" s="505"/>
      <c r="P115" s="505"/>
      <c r="Q115" s="505"/>
      <c r="R115" s="505"/>
      <c r="S115" s="505"/>
      <c r="T115" s="505"/>
      <c r="U115" s="502"/>
      <c r="V115" s="502"/>
      <c r="W115" s="603"/>
      <c r="X115" s="597"/>
      <c r="Y115" s="602"/>
      <c r="Z115" s="654">
        <f t="shared" si="34"/>
        <v>0</v>
      </c>
      <c r="AA115" s="617"/>
      <c r="AB115" s="592"/>
      <c r="AC115" s="586"/>
      <c r="AD115" s="654">
        <f t="shared" si="35"/>
        <v>0</v>
      </c>
      <c r="AE115" s="617"/>
      <c r="AF115" s="592"/>
      <c r="AG115" s="586"/>
      <c r="AI115" s="611"/>
      <c r="AJ115" s="612"/>
      <c r="AK115" s="613"/>
    </row>
    <row r="116" spans="1:37" s="593" customFormat="1" ht="51" hidden="1" customHeight="1">
      <c r="A116" s="585"/>
      <c r="B116" s="529"/>
      <c r="C116" s="529"/>
      <c r="D116" s="529"/>
      <c r="E116" s="529" t="s">
        <v>646</v>
      </c>
      <c r="F116" s="667"/>
      <c r="G116" s="587"/>
      <c r="H116" s="587"/>
      <c r="I116" s="587"/>
      <c r="J116" s="588" t="s">
        <v>365</v>
      </c>
      <c r="K116" s="588" t="s">
        <v>229</v>
      </c>
      <c r="L116" s="589" t="s">
        <v>362</v>
      </c>
      <c r="M116" s="590">
        <v>0</v>
      </c>
      <c r="N116" s="594">
        <v>40</v>
      </c>
      <c r="O116" s="505"/>
      <c r="P116" s="505"/>
      <c r="Q116" s="505"/>
      <c r="R116" s="505"/>
      <c r="S116" s="505"/>
      <c r="T116" s="505"/>
      <c r="U116" s="502"/>
      <c r="V116" s="502"/>
      <c r="W116" s="603"/>
      <c r="X116" s="597"/>
      <c r="Y116" s="602"/>
      <c r="Z116" s="654">
        <f t="shared" si="34"/>
        <v>0</v>
      </c>
      <c r="AA116" s="617"/>
      <c r="AB116" s="592"/>
      <c r="AC116" s="586"/>
      <c r="AD116" s="654">
        <f t="shared" si="35"/>
        <v>0</v>
      </c>
      <c r="AE116" s="617"/>
      <c r="AF116" s="592"/>
      <c r="AG116" s="586"/>
      <c r="AI116" s="611"/>
      <c r="AJ116" s="612"/>
      <c r="AK116" s="613"/>
    </row>
    <row r="117" spans="1:37" ht="81.599999999999994" hidden="1" customHeight="1">
      <c r="A117" s="496">
        <v>28</v>
      </c>
      <c r="B117" s="497"/>
      <c r="C117" s="497"/>
      <c r="D117" s="497"/>
      <c r="E117" s="528" t="s">
        <v>577</v>
      </c>
      <c r="F117" s="667" t="s">
        <v>578</v>
      </c>
      <c r="G117" s="403" t="s">
        <v>607</v>
      </c>
      <c r="H117" s="404" t="s">
        <v>604</v>
      </c>
      <c r="I117" s="403" t="s">
        <v>546</v>
      </c>
      <c r="J117" s="390"/>
      <c r="K117" s="390"/>
      <c r="L117" s="416"/>
      <c r="M117" s="508" t="s">
        <v>515</v>
      </c>
      <c r="N117" s="408"/>
      <c r="O117" s="505"/>
      <c r="P117" s="505"/>
      <c r="Q117" s="505"/>
      <c r="R117" s="505"/>
      <c r="S117" s="505"/>
      <c r="T117" s="505"/>
      <c r="U117" s="502"/>
      <c r="V117" s="502"/>
      <c r="W117" s="603"/>
      <c r="X117" s="597"/>
      <c r="Y117" s="602"/>
      <c r="Z117" s="654">
        <f t="shared" si="34"/>
        <v>0</v>
      </c>
      <c r="AA117" s="617"/>
      <c r="AB117" s="400" t="e">
        <f t="shared" si="29"/>
        <v>#DIV/0!</v>
      </c>
      <c r="AC117" s="397"/>
      <c r="AD117" s="654">
        <f t="shared" si="35"/>
        <v>0</v>
      </c>
      <c r="AE117" s="617"/>
      <c r="AF117" s="400" t="e">
        <f t="shared" si="0"/>
        <v>#DIV/0!</v>
      </c>
      <c r="AG117" s="397"/>
      <c r="AI117" s="611"/>
      <c r="AJ117" s="612"/>
      <c r="AK117" s="613"/>
    </row>
    <row r="118" spans="1:37" s="541" customFormat="1" ht="45" hidden="1" customHeight="1">
      <c r="A118" s="575"/>
      <c r="B118" s="595"/>
      <c r="C118" s="595"/>
      <c r="D118" s="595"/>
      <c r="E118" s="529" t="s">
        <v>647</v>
      </c>
      <c r="F118" s="667"/>
      <c r="G118" s="538"/>
      <c r="H118" s="539"/>
      <c r="I118" s="538"/>
      <c r="J118" s="588" t="s">
        <v>365</v>
      </c>
      <c r="K118" s="588" t="s">
        <v>229</v>
      </c>
      <c r="L118" s="589" t="s">
        <v>435</v>
      </c>
      <c r="M118" s="508" t="s">
        <v>515</v>
      </c>
      <c r="N118" s="591" t="s">
        <v>568</v>
      </c>
      <c r="O118" s="505"/>
      <c r="P118" s="505"/>
      <c r="Q118" s="505"/>
      <c r="R118" s="505"/>
      <c r="S118" s="505"/>
      <c r="T118" s="505"/>
      <c r="U118" s="502"/>
      <c r="V118" s="502"/>
      <c r="W118" s="603"/>
      <c r="X118" s="597"/>
      <c r="Y118" s="602"/>
      <c r="Z118" s="654">
        <f t="shared" si="34"/>
        <v>0</v>
      </c>
      <c r="AA118" s="617"/>
      <c r="AB118" s="540"/>
      <c r="AC118" s="537"/>
      <c r="AD118" s="654">
        <f t="shared" si="35"/>
        <v>0</v>
      </c>
      <c r="AE118" s="617"/>
      <c r="AF118" s="540"/>
      <c r="AG118" s="537"/>
      <c r="AI118" s="611"/>
      <c r="AJ118" s="612"/>
      <c r="AK118" s="613"/>
    </row>
    <row r="119" spans="1:37" s="541" customFormat="1" ht="53.25" hidden="1" customHeight="1">
      <c r="A119" s="575"/>
      <c r="B119" s="595"/>
      <c r="C119" s="595"/>
      <c r="D119" s="595"/>
      <c r="E119" s="529" t="s">
        <v>648</v>
      </c>
      <c r="F119" s="667"/>
      <c r="G119" s="538"/>
      <c r="H119" s="539"/>
      <c r="I119" s="538"/>
      <c r="J119" s="588" t="s">
        <v>365</v>
      </c>
      <c r="K119" s="588" t="s">
        <v>229</v>
      </c>
      <c r="L119" s="589" t="s">
        <v>435</v>
      </c>
      <c r="M119" s="508" t="s">
        <v>515</v>
      </c>
      <c r="N119" s="596">
        <v>8000</v>
      </c>
      <c r="O119" s="505"/>
      <c r="P119" s="505"/>
      <c r="Q119" s="505"/>
      <c r="R119" s="505"/>
      <c r="S119" s="505"/>
      <c r="T119" s="505"/>
      <c r="U119" s="502"/>
      <c r="V119" s="502"/>
      <c r="W119" s="603"/>
      <c r="X119" s="597"/>
      <c r="Y119" s="602"/>
      <c r="Z119" s="654">
        <f t="shared" si="34"/>
        <v>0</v>
      </c>
      <c r="AA119" s="617"/>
      <c r="AB119" s="540"/>
      <c r="AC119" s="537"/>
      <c r="AD119" s="654">
        <f t="shared" si="35"/>
        <v>0</v>
      </c>
      <c r="AE119" s="617"/>
      <c r="AF119" s="540"/>
      <c r="AG119" s="537"/>
      <c r="AI119" s="611"/>
      <c r="AJ119" s="612"/>
      <c r="AK119" s="613"/>
    </row>
    <row r="120" spans="1:37" s="550" customFormat="1" ht="35.1" hidden="1" customHeight="1">
      <c r="A120" s="573"/>
      <c r="B120" s="542"/>
      <c r="C120" s="542"/>
      <c r="D120" s="542"/>
      <c r="E120" s="518" t="s">
        <v>547</v>
      </c>
      <c r="F120" s="543"/>
      <c r="G120" s="544"/>
      <c r="H120" s="545"/>
      <c r="I120" s="544"/>
      <c r="J120" s="546"/>
      <c r="K120" s="546"/>
      <c r="L120" s="547"/>
      <c r="M120" s="548"/>
      <c r="N120" s="549"/>
      <c r="O120" s="406"/>
      <c r="P120" s="406"/>
      <c r="Q120" s="406"/>
      <c r="R120" s="406"/>
      <c r="S120" s="406"/>
      <c r="T120" s="406"/>
      <c r="U120" s="409"/>
      <c r="V120" s="409"/>
      <c r="W120" s="622"/>
      <c r="X120" s="623"/>
      <c r="Y120" s="624"/>
      <c r="Z120" s="625"/>
      <c r="AA120" s="617"/>
      <c r="AB120" s="626"/>
      <c r="AC120" s="543"/>
      <c r="AD120" s="625"/>
      <c r="AE120" s="617"/>
      <c r="AF120" s="626"/>
      <c r="AG120" s="543"/>
      <c r="AI120" s="611"/>
      <c r="AJ120" s="612"/>
      <c r="AK120" s="613"/>
    </row>
    <row r="121" spans="1:37" ht="43.15" hidden="1" customHeight="1">
      <c r="A121" s="496">
        <v>29</v>
      </c>
      <c r="B121" s="497"/>
      <c r="C121" s="497" t="s">
        <v>583</v>
      </c>
      <c r="D121" s="497"/>
      <c r="E121" s="528" t="s">
        <v>548</v>
      </c>
      <c r="F121" s="668" t="s">
        <v>679</v>
      </c>
      <c r="G121" s="403" t="s">
        <v>607</v>
      </c>
      <c r="H121" s="404"/>
      <c r="I121" s="403" t="s">
        <v>544</v>
      </c>
      <c r="J121" s="390" t="s">
        <v>365</v>
      </c>
      <c r="K121" s="390"/>
      <c r="L121" s="416"/>
      <c r="M121" s="508" t="s">
        <v>515</v>
      </c>
      <c r="N121" s="408"/>
      <c r="O121" s="505"/>
      <c r="P121" s="505"/>
      <c r="Q121" s="505"/>
      <c r="R121" s="505"/>
      <c r="S121" s="505"/>
      <c r="T121" s="505"/>
      <c r="U121" s="502"/>
      <c r="V121" s="502"/>
      <c r="W121" s="603"/>
      <c r="X121" s="597"/>
      <c r="Y121" s="602"/>
      <c r="Z121" s="654">
        <f>Q121/2</f>
        <v>0</v>
      </c>
      <c r="AA121" s="617"/>
      <c r="AB121" s="400" t="e">
        <f t="shared" si="29"/>
        <v>#DIV/0!</v>
      </c>
      <c r="AC121" s="397"/>
      <c r="AD121" s="654">
        <f>Q121/2</f>
        <v>0</v>
      </c>
      <c r="AE121" s="617"/>
      <c r="AF121" s="400" t="e">
        <f t="shared" si="0"/>
        <v>#DIV/0!</v>
      </c>
      <c r="AG121" s="397"/>
      <c r="AI121" s="611"/>
      <c r="AJ121" s="612"/>
      <c r="AK121" s="613"/>
    </row>
    <row r="122" spans="1:37" ht="43.15" hidden="1" customHeight="1">
      <c r="A122" s="496"/>
      <c r="B122" s="497"/>
      <c r="C122" s="497"/>
      <c r="D122" s="497"/>
      <c r="E122" s="529" t="s">
        <v>592</v>
      </c>
      <c r="F122" s="667"/>
      <c r="G122" s="403"/>
      <c r="H122" s="404"/>
      <c r="I122" s="403"/>
      <c r="J122" s="390" t="s">
        <v>365</v>
      </c>
      <c r="K122" s="390" t="s">
        <v>229</v>
      </c>
      <c r="L122" s="416" t="s">
        <v>435</v>
      </c>
      <c r="M122" s="508" t="s">
        <v>515</v>
      </c>
      <c r="N122" s="408">
        <v>25</v>
      </c>
      <c r="O122" s="505"/>
      <c r="P122" s="505"/>
      <c r="Q122" s="505"/>
      <c r="R122" s="505"/>
      <c r="S122" s="505"/>
      <c r="T122" s="505"/>
      <c r="U122" s="502"/>
      <c r="V122" s="502"/>
      <c r="W122" s="603"/>
      <c r="X122" s="597"/>
      <c r="Y122" s="602"/>
      <c r="Z122" s="654">
        <f>Q122/2</f>
        <v>0</v>
      </c>
      <c r="AA122" s="617"/>
      <c r="AB122" s="400"/>
      <c r="AC122" s="397"/>
      <c r="AD122" s="654">
        <f>Q122/2</f>
        <v>0</v>
      </c>
      <c r="AE122" s="617"/>
      <c r="AF122" s="400"/>
      <c r="AG122" s="397"/>
      <c r="AI122" s="611"/>
      <c r="AJ122" s="612"/>
      <c r="AK122" s="613"/>
    </row>
    <row r="123" spans="1:37" ht="43.15" hidden="1" customHeight="1">
      <c r="A123" s="496"/>
      <c r="B123" s="497"/>
      <c r="C123" s="497"/>
      <c r="D123" s="497"/>
      <c r="E123" s="529" t="s">
        <v>593</v>
      </c>
      <c r="F123" s="667"/>
      <c r="G123" s="403"/>
      <c r="H123" s="404"/>
      <c r="I123" s="403"/>
      <c r="J123" s="390" t="s">
        <v>365</v>
      </c>
      <c r="K123" s="390" t="s">
        <v>229</v>
      </c>
      <c r="L123" s="416" t="s">
        <v>435</v>
      </c>
      <c r="M123" s="508" t="s">
        <v>515</v>
      </c>
      <c r="N123" s="408">
        <v>20</v>
      </c>
      <c r="O123" s="505"/>
      <c r="P123" s="505"/>
      <c r="Q123" s="505"/>
      <c r="R123" s="505"/>
      <c r="S123" s="505"/>
      <c r="T123" s="505"/>
      <c r="U123" s="502"/>
      <c r="V123" s="502"/>
      <c r="W123" s="603"/>
      <c r="X123" s="597"/>
      <c r="Y123" s="602"/>
      <c r="Z123" s="654">
        <f>Q123/2</f>
        <v>0</v>
      </c>
      <c r="AA123" s="617"/>
      <c r="AB123" s="400"/>
      <c r="AC123" s="397"/>
      <c r="AD123" s="654">
        <f>Q123/2</f>
        <v>0</v>
      </c>
      <c r="AE123" s="617"/>
      <c r="AF123" s="400"/>
      <c r="AG123" s="397"/>
      <c r="AI123" s="611"/>
      <c r="AJ123" s="612"/>
      <c r="AK123" s="613"/>
    </row>
    <row r="124" spans="1:37" s="550" customFormat="1" ht="35.1" hidden="1" customHeight="1">
      <c r="A124" s="573"/>
      <c r="B124" s="551"/>
      <c r="C124" s="551"/>
      <c r="D124" s="551"/>
      <c r="E124" s="561" t="s">
        <v>549</v>
      </c>
      <c r="F124" s="552"/>
      <c r="G124" s="553"/>
      <c r="H124" s="554"/>
      <c r="I124" s="553"/>
      <c r="J124" s="555"/>
      <c r="K124" s="555"/>
      <c r="L124" s="556"/>
      <c r="M124" s="557"/>
      <c r="N124" s="558"/>
      <c r="O124" s="614"/>
      <c r="P124" s="614"/>
      <c r="Q124" s="614"/>
      <c r="R124" s="614"/>
      <c r="S124" s="614"/>
      <c r="T124" s="614"/>
      <c r="U124" s="615"/>
      <c r="V124" s="615"/>
      <c r="W124" s="662"/>
      <c r="X124" s="664"/>
      <c r="Y124" s="665"/>
      <c r="Z124" s="627"/>
      <c r="AA124" s="628"/>
      <c r="AB124" s="629"/>
      <c r="AC124" s="552"/>
      <c r="AD124" s="627"/>
      <c r="AE124" s="628"/>
      <c r="AF124" s="629"/>
      <c r="AG124" s="552"/>
      <c r="AI124" s="611"/>
      <c r="AJ124" s="612"/>
      <c r="AK124" s="613"/>
    </row>
    <row r="125" spans="1:37" s="550" customFormat="1" ht="35.1" hidden="1" customHeight="1">
      <c r="A125" s="573"/>
      <c r="B125" s="542"/>
      <c r="C125" s="542"/>
      <c r="D125" s="542"/>
      <c r="E125" s="518" t="s">
        <v>590</v>
      </c>
      <c r="F125" s="543"/>
      <c r="G125" s="544"/>
      <c r="H125" s="545"/>
      <c r="I125" s="544"/>
      <c r="J125" s="546"/>
      <c r="K125" s="546"/>
      <c r="L125" s="547"/>
      <c r="M125" s="548"/>
      <c r="N125" s="549"/>
      <c r="O125" s="406"/>
      <c r="P125" s="406"/>
      <c r="Q125" s="406"/>
      <c r="R125" s="406"/>
      <c r="S125" s="406"/>
      <c r="T125" s="406"/>
      <c r="U125" s="409"/>
      <c r="V125" s="409"/>
      <c r="W125" s="622"/>
      <c r="X125" s="623"/>
      <c r="Y125" s="624"/>
      <c r="Z125" s="625"/>
      <c r="AA125" s="617"/>
      <c r="AB125" s="626"/>
      <c r="AC125" s="543"/>
      <c r="AD125" s="625"/>
      <c r="AE125" s="617"/>
      <c r="AF125" s="626"/>
      <c r="AG125" s="543"/>
      <c r="AI125" s="611"/>
      <c r="AJ125" s="612"/>
      <c r="AK125" s="613"/>
    </row>
    <row r="126" spans="1:37" ht="54.75" hidden="1" customHeight="1">
      <c r="A126" s="496">
        <v>30</v>
      </c>
      <c r="B126" s="497"/>
      <c r="C126" s="497" t="s">
        <v>584</v>
      </c>
      <c r="D126" s="497"/>
      <c r="E126" s="531" t="s">
        <v>597</v>
      </c>
      <c r="F126" s="668" t="s">
        <v>679</v>
      </c>
      <c r="G126" s="403" t="s">
        <v>607</v>
      </c>
      <c r="H126" s="404" t="s">
        <v>604</v>
      </c>
      <c r="I126" s="403" t="s">
        <v>550</v>
      </c>
      <c r="J126" s="390" t="s">
        <v>365</v>
      </c>
      <c r="K126" s="390" t="s">
        <v>229</v>
      </c>
      <c r="L126" s="416" t="s">
        <v>591</v>
      </c>
      <c r="M126" s="505">
        <v>0</v>
      </c>
      <c r="N126" s="408">
        <f>1*2*5</f>
        <v>10</v>
      </c>
      <c r="O126" s="505"/>
      <c r="P126" s="505"/>
      <c r="Q126" s="505"/>
      <c r="R126" s="505"/>
      <c r="S126" s="505"/>
      <c r="T126" s="505"/>
      <c r="U126" s="502"/>
      <c r="V126" s="502"/>
      <c r="W126" s="603"/>
      <c r="X126" s="597"/>
      <c r="Y126" s="602"/>
      <c r="Z126" s="654">
        <f t="shared" ref="Z126:Z131" si="36">Q126/2</f>
        <v>0</v>
      </c>
      <c r="AA126" s="617"/>
      <c r="AB126" s="400" t="e">
        <f t="shared" si="29"/>
        <v>#DIV/0!</v>
      </c>
      <c r="AC126" s="397"/>
      <c r="AD126" s="654">
        <f t="shared" ref="AD126:AD131" si="37">Q126/2</f>
        <v>0</v>
      </c>
      <c r="AE126" s="617"/>
      <c r="AF126" s="400" t="e">
        <f t="shared" si="0"/>
        <v>#DIV/0!</v>
      </c>
      <c r="AG126" s="397"/>
      <c r="AI126" s="611"/>
      <c r="AJ126" s="612"/>
      <c r="AK126" s="613"/>
    </row>
    <row r="127" spans="1:37" ht="108.75" hidden="1" customHeight="1">
      <c r="A127" s="496">
        <v>31</v>
      </c>
      <c r="B127" s="497"/>
      <c r="C127" s="497" t="s">
        <v>585</v>
      </c>
      <c r="D127" s="497"/>
      <c r="E127" s="531" t="s">
        <v>595</v>
      </c>
      <c r="F127" s="668" t="s">
        <v>679</v>
      </c>
      <c r="G127" s="403" t="s">
        <v>607</v>
      </c>
      <c r="H127" s="404" t="s">
        <v>604</v>
      </c>
      <c r="I127" s="403" t="s">
        <v>551</v>
      </c>
      <c r="J127" s="390" t="s">
        <v>365</v>
      </c>
      <c r="K127" s="390" t="s">
        <v>229</v>
      </c>
      <c r="L127" s="416" t="s">
        <v>594</v>
      </c>
      <c r="M127" s="508" t="s">
        <v>515</v>
      </c>
      <c r="N127" s="408">
        <f>1*2*5</f>
        <v>10</v>
      </c>
      <c r="O127" s="505"/>
      <c r="P127" s="505"/>
      <c r="Q127" s="505"/>
      <c r="R127" s="505"/>
      <c r="S127" s="505"/>
      <c r="T127" s="505"/>
      <c r="U127" s="502"/>
      <c r="V127" s="502"/>
      <c r="W127" s="603"/>
      <c r="X127" s="597"/>
      <c r="Y127" s="602"/>
      <c r="Z127" s="654">
        <f t="shared" si="36"/>
        <v>0</v>
      </c>
      <c r="AA127" s="617"/>
      <c r="AB127" s="400" t="e">
        <f t="shared" si="29"/>
        <v>#DIV/0!</v>
      </c>
      <c r="AC127" s="397"/>
      <c r="AD127" s="654">
        <f t="shared" si="37"/>
        <v>0</v>
      </c>
      <c r="AE127" s="617"/>
      <c r="AF127" s="400" t="e">
        <f t="shared" si="0"/>
        <v>#DIV/0!</v>
      </c>
      <c r="AG127" s="397"/>
      <c r="AI127" s="611"/>
      <c r="AJ127" s="612"/>
      <c r="AK127" s="613"/>
    </row>
    <row r="128" spans="1:37" ht="76.5" hidden="1" customHeight="1">
      <c r="A128" s="496">
        <v>32</v>
      </c>
      <c r="B128" s="497"/>
      <c r="C128" s="497" t="s">
        <v>586</v>
      </c>
      <c r="D128" s="497"/>
      <c r="E128" s="528" t="s">
        <v>609</v>
      </c>
      <c r="F128" s="668" t="s">
        <v>679</v>
      </c>
      <c r="G128" s="403" t="s">
        <v>607</v>
      </c>
      <c r="H128" s="404" t="s">
        <v>604</v>
      </c>
      <c r="I128" s="403" t="s">
        <v>538</v>
      </c>
      <c r="J128" s="390" t="s">
        <v>365</v>
      </c>
      <c r="K128" s="390" t="s">
        <v>229</v>
      </c>
      <c r="L128" s="416"/>
      <c r="M128" s="505"/>
      <c r="N128" s="408"/>
      <c r="O128" s="505"/>
      <c r="P128" s="505"/>
      <c r="Q128" s="505"/>
      <c r="R128" s="505"/>
      <c r="S128" s="505"/>
      <c r="T128" s="505"/>
      <c r="U128" s="502"/>
      <c r="V128" s="502"/>
      <c r="W128" s="603"/>
      <c r="X128" s="597"/>
      <c r="Y128" s="602"/>
      <c r="Z128" s="654">
        <f t="shared" si="36"/>
        <v>0</v>
      </c>
      <c r="AA128" s="617"/>
      <c r="AB128" s="400" t="e">
        <f t="shared" si="29"/>
        <v>#DIV/0!</v>
      </c>
      <c r="AC128" s="397"/>
      <c r="AD128" s="654">
        <f t="shared" si="37"/>
        <v>0</v>
      </c>
      <c r="AE128" s="617"/>
      <c r="AF128" s="400" t="e">
        <f t="shared" si="0"/>
        <v>#DIV/0!</v>
      </c>
      <c r="AG128" s="397"/>
      <c r="AI128" s="611"/>
      <c r="AJ128" s="612"/>
      <c r="AK128" s="613"/>
    </row>
    <row r="129" spans="1:37" ht="55.5" hidden="1" customHeight="1">
      <c r="A129" s="496"/>
      <c r="B129" s="497"/>
      <c r="C129" s="497"/>
      <c r="D129" s="497"/>
      <c r="E129" s="529" t="s">
        <v>598</v>
      </c>
      <c r="F129" s="667" t="s">
        <v>701</v>
      </c>
      <c r="G129" s="403"/>
      <c r="H129" s="404"/>
      <c r="I129" s="403"/>
      <c r="J129" s="390"/>
      <c r="K129" s="390"/>
      <c r="L129" s="416" t="s">
        <v>596</v>
      </c>
      <c r="M129" s="505">
        <v>0</v>
      </c>
      <c r="N129" s="408" t="s">
        <v>599</v>
      </c>
      <c r="O129" s="505"/>
      <c r="P129" s="505"/>
      <c r="Q129" s="505"/>
      <c r="R129" s="505"/>
      <c r="S129" s="505"/>
      <c r="T129" s="505"/>
      <c r="U129" s="502"/>
      <c r="V129" s="502"/>
      <c r="W129" s="603"/>
      <c r="X129" s="597"/>
      <c r="Y129" s="602"/>
      <c r="Z129" s="654">
        <f t="shared" si="36"/>
        <v>0</v>
      </c>
      <c r="AA129" s="617"/>
      <c r="AB129" s="400"/>
      <c r="AC129" s="397"/>
      <c r="AD129" s="654">
        <f t="shared" si="37"/>
        <v>0</v>
      </c>
      <c r="AE129" s="617"/>
      <c r="AF129" s="400"/>
      <c r="AG129" s="397"/>
      <c r="AI129" s="611"/>
      <c r="AJ129" s="612"/>
      <c r="AK129" s="613"/>
    </row>
    <row r="130" spans="1:37" ht="58.5" hidden="1" customHeight="1">
      <c r="A130" s="496"/>
      <c r="B130" s="497"/>
      <c r="C130" s="497"/>
      <c r="D130" s="497"/>
      <c r="E130" s="529" t="s">
        <v>600</v>
      </c>
      <c r="F130" s="667" t="s">
        <v>701</v>
      </c>
      <c r="G130" s="403"/>
      <c r="H130" s="404"/>
      <c r="I130" s="403"/>
      <c r="J130" s="390"/>
      <c r="K130" s="390"/>
      <c r="L130" s="416" t="s">
        <v>134</v>
      </c>
      <c r="M130" s="505">
        <v>0</v>
      </c>
      <c r="N130" s="408" t="s">
        <v>599</v>
      </c>
      <c r="O130" s="505"/>
      <c r="P130" s="505"/>
      <c r="Q130" s="505"/>
      <c r="R130" s="505"/>
      <c r="S130" s="505"/>
      <c r="T130" s="505"/>
      <c r="U130" s="502"/>
      <c r="V130" s="502"/>
      <c r="W130" s="603"/>
      <c r="X130" s="597"/>
      <c r="Y130" s="602"/>
      <c r="Z130" s="654">
        <f t="shared" si="36"/>
        <v>0</v>
      </c>
      <c r="AA130" s="617"/>
      <c r="AB130" s="400"/>
      <c r="AC130" s="397"/>
      <c r="AD130" s="654">
        <f t="shared" si="37"/>
        <v>0</v>
      </c>
      <c r="AE130" s="617"/>
      <c r="AF130" s="400"/>
      <c r="AG130" s="397"/>
      <c r="AI130" s="611"/>
      <c r="AJ130" s="612"/>
      <c r="AK130" s="613"/>
    </row>
    <row r="131" spans="1:37" ht="53.25" hidden="1" customHeight="1">
      <c r="A131" s="496">
        <v>33</v>
      </c>
      <c r="B131" s="497"/>
      <c r="C131" s="497" t="s">
        <v>587</v>
      </c>
      <c r="D131" s="497"/>
      <c r="E131" s="531" t="s">
        <v>589</v>
      </c>
      <c r="F131" s="667" t="s">
        <v>702</v>
      </c>
      <c r="G131" s="403" t="s">
        <v>607</v>
      </c>
      <c r="H131" s="404" t="s">
        <v>604</v>
      </c>
      <c r="I131" s="403" t="s">
        <v>552</v>
      </c>
      <c r="J131" s="390" t="s">
        <v>365</v>
      </c>
      <c r="K131" s="390" t="s">
        <v>229</v>
      </c>
      <c r="L131" s="416" t="s">
        <v>362</v>
      </c>
      <c r="M131" s="508" t="s">
        <v>515</v>
      </c>
      <c r="N131" s="408" t="s">
        <v>599</v>
      </c>
      <c r="O131" s="505"/>
      <c r="P131" s="505"/>
      <c r="Q131" s="505"/>
      <c r="R131" s="505"/>
      <c r="S131" s="505"/>
      <c r="T131" s="505"/>
      <c r="U131" s="502"/>
      <c r="V131" s="502"/>
      <c r="W131" s="603"/>
      <c r="X131" s="597"/>
      <c r="Y131" s="602"/>
      <c r="Z131" s="654">
        <f t="shared" si="36"/>
        <v>0</v>
      </c>
      <c r="AA131" s="617"/>
      <c r="AB131" s="400" t="e">
        <f t="shared" si="29"/>
        <v>#DIV/0!</v>
      </c>
      <c r="AC131" s="397"/>
      <c r="AD131" s="654">
        <f t="shared" si="37"/>
        <v>0</v>
      </c>
      <c r="AE131" s="617"/>
      <c r="AF131" s="400" t="e">
        <f t="shared" si="0"/>
        <v>#DIV/0!</v>
      </c>
      <c r="AG131" s="397"/>
      <c r="AI131" s="611"/>
      <c r="AJ131" s="612"/>
      <c r="AK131" s="613"/>
    </row>
    <row r="132" spans="1:37" s="550" customFormat="1" ht="35.1" hidden="1" customHeight="1">
      <c r="A132" s="573"/>
      <c r="B132" s="542"/>
      <c r="C132" s="542"/>
      <c r="D132" s="542"/>
      <c r="E132" s="518" t="s">
        <v>553</v>
      </c>
      <c r="F132" s="543"/>
      <c r="G132" s="544"/>
      <c r="H132" s="545"/>
      <c r="I132" s="544"/>
      <c r="J132" s="546"/>
      <c r="K132" s="546"/>
      <c r="L132" s="547"/>
      <c r="M132" s="548"/>
      <c r="N132" s="549"/>
      <c r="O132" s="406"/>
      <c r="P132" s="406"/>
      <c r="Q132" s="406"/>
      <c r="R132" s="406"/>
      <c r="S132" s="406"/>
      <c r="T132" s="406"/>
      <c r="U132" s="409"/>
      <c r="V132" s="409"/>
      <c r="W132" s="622"/>
      <c r="X132" s="623"/>
      <c r="Y132" s="624"/>
      <c r="Z132" s="625"/>
      <c r="AA132" s="617"/>
      <c r="AB132" s="626"/>
      <c r="AC132" s="543"/>
      <c r="AD132" s="625"/>
      <c r="AE132" s="617"/>
      <c r="AF132" s="626"/>
      <c r="AG132" s="543"/>
      <c r="AI132" s="611"/>
      <c r="AJ132" s="612"/>
      <c r="AK132" s="613"/>
    </row>
    <row r="133" spans="1:37" ht="142.9" hidden="1" customHeight="1">
      <c r="A133" s="496">
        <v>34</v>
      </c>
      <c r="B133" s="497"/>
      <c r="C133" s="497" t="s">
        <v>588</v>
      </c>
      <c r="D133" s="497"/>
      <c r="E133" s="528" t="s">
        <v>601</v>
      </c>
      <c r="F133" s="668" t="s">
        <v>679</v>
      </c>
      <c r="G133" s="403" t="s">
        <v>607</v>
      </c>
      <c r="H133" s="404" t="s">
        <v>604</v>
      </c>
      <c r="I133" s="403" t="s">
        <v>544</v>
      </c>
      <c r="J133" s="390" t="s">
        <v>365</v>
      </c>
      <c r="K133" s="390" t="s">
        <v>229</v>
      </c>
      <c r="L133" s="416"/>
      <c r="M133" s="508" t="s">
        <v>515</v>
      </c>
      <c r="N133" s="408" t="s">
        <v>599</v>
      </c>
      <c r="O133" s="505"/>
      <c r="P133" s="505"/>
      <c r="Q133" s="505"/>
      <c r="R133" s="505"/>
      <c r="S133" s="505"/>
      <c r="T133" s="505"/>
      <c r="U133" s="502"/>
      <c r="V133" s="502"/>
      <c r="W133" s="603"/>
      <c r="X133" s="597"/>
      <c r="Y133" s="602"/>
      <c r="Z133" s="654">
        <f t="shared" ref="Z133:Z140" si="38">Q133/2</f>
        <v>0</v>
      </c>
      <c r="AA133" s="617"/>
      <c r="AB133" s="400" t="e">
        <f t="shared" si="29"/>
        <v>#DIV/0!</v>
      </c>
      <c r="AC133" s="397"/>
      <c r="AD133" s="654">
        <f t="shared" ref="AD133:AD140" si="39">Q133/2</f>
        <v>0</v>
      </c>
      <c r="AE133" s="617"/>
      <c r="AF133" s="400" t="e">
        <f t="shared" si="0"/>
        <v>#DIV/0!</v>
      </c>
      <c r="AG133" s="397"/>
      <c r="AI133" s="611"/>
      <c r="AJ133" s="612"/>
      <c r="AK133" s="613"/>
    </row>
    <row r="134" spans="1:37" ht="38.25" hidden="1">
      <c r="A134" s="506"/>
      <c r="B134" s="497"/>
      <c r="C134" s="497"/>
      <c r="D134" s="497"/>
      <c r="E134" s="503" t="s">
        <v>605</v>
      </c>
      <c r="F134" s="667"/>
      <c r="G134" s="403"/>
      <c r="H134" s="404" t="s">
        <v>576</v>
      </c>
      <c r="I134" s="403"/>
      <c r="J134" s="390"/>
      <c r="K134" s="390"/>
      <c r="L134" s="416" t="s">
        <v>602</v>
      </c>
      <c r="M134" s="508" t="s">
        <v>515</v>
      </c>
      <c r="N134" s="408" t="s">
        <v>599</v>
      </c>
      <c r="O134" s="505"/>
      <c r="P134" s="505"/>
      <c r="Q134" s="505"/>
      <c r="R134" s="505"/>
      <c r="S134" s="505"/>
      <c r="T134" s="505"/>
      <c r="U134" s="502"/>
      <c r="V134" s="502"/>
      <c r="W134" s="603"/>
      <c r="X134" s="597"/>
      <c r="Y134" s="602"/>
      <c r="Z134" s="654">
        <f t="shared" si="38"/>
        <v>0</v>
      </c>
      <c r="AA134" s="617"/>
      <c r="AB134" s="400" t="e">
        <f t="shared" si="29"/>
        <v>#DIV/0!</v>
      </c>
      <c r="AC134" s="397"/>
      <c r="AD134" s="654">
        <f t="shared" si="39"/>
        <v>0</v>
      </c>
      <c r="AE134" s="617"/>
      <c r="AF134" s="400" t="e">
        <f t="shared" si="0"/>
        <v>#DIV/0!</v>
      </c>
      <c r="AG134" s="397"/>
      <c r="AI134" s="611"/>
      <c r="AJ134" s="612"/>
      <c r="AK134" s="613"/>
    </row>
    <row r="135" spans="1:37" ht="43.15" hidden="1" customHeight="1">
      <c r="A135" s="506"/>
      <c r="B135" s="497"/>
      <c r="C135" s="497"/>
      <c r="D135" s="497"/>
      <c r="E135" s="529" t="s">
        <v>649</v>
      </c>
      <c r="F135" s="667"/>
      <c r="G135" s="403"/>
      <c r="H135" s="404" t="s">
        <v>604</v>
      </c>
      <c r="I135" s="403"/>
      <c r="J135" s="390"/>
      <c r="K135" s="390"/>
      <c r="L135" s="416" t="s">
        <v>606</v>
      </c>
      <c r="M135" s="508" t="s">
        <v>515</v>
      </c>
      <c r="N135" s="408" t="s">
        <v>599</v>
      </c>
      <c r="O135" s="505"/>
      <c r="P135" s="505"/>
      <c r="Q135" s="505"/>
      <c r="R135" s="505"/>
      <c r="S135" s="505"/>
      <c r="T135" s="505"/>
      <c r="U135" s="502"/>
      <c r="V135" s="502"/>
      <c r="W135" s="603"/>
      <c r="X135" s="597"/>
      <c r="Y135" s="602"/>
      <c r="Z135" s="654">
        <f t="shared" si="38"/>
        <v>0</v>
      </c>
      <c r="AA135" s="617"/>
      <c r="AB135" s="400" t="e">
        <f t="shared" si="29"/>
        <v>#DIV/0!</v>
      </c>
      <c r="AC135" s="397"/>
      <c r="AD135" s="654">
        <f t="shared" si="39"/>
        <v>0</v>
      </c>
      <c r="AE135" s="617"/>
      <c r="AF135" s="400" t="e">
        <f t="shared" si="0"/>
        <v>#DIV/0!</v>
      </c>
      <c r="AG135" s="397"/>
      <c r="AI135" s="611"/>
      <c r="AJ135" s="612"/>
      <c r="AK135" s="613"/>
    </row>
    <row r="136" spans="1:37" ht="33" hidden="1" customHeight="1">
      <c r="A136" s="506"/>
      <c r="B136" s="497"/>
      <c r="C136" s="497"/>
      <c r="D136" s="497"/>
      <c r="E136" s="529" t="s">
        <v>650</v>
      </c>
      <c r="F136" s="667"/>
      <c r="G136" s="403"/>
      <c r="H136" s="404" t="s">
        <v>604</v>
      </c>
      <c r="I136" s="403"/>
      <c r="J136" s="390"/>
      <c r="K136" s="390"/>
      <c r="L136" s="416" t="s">
        <v>435</v>
      </c>
      <c r="M136" s="508" t="s">
        <v>515</v>
      </c>
      <c r="N136" s="408">
        <v>15</v>
      </c>
      <c r="O136" s="505"/>
      <c r="P136" s="505"/>
      <c r="Q136" s="505"/>
      <c r="R136" s="505"/>
      <c r="S136" s="505"/>
      <c r="T136" s="505"/>
      <c r="U136" s="502"/>
      <c r="V136" s="502"/>
      <c r="W136" s="603"/>
      <c r="X136" s="597"/>
      <c r="Y136" s="602"/>
      <c r="Z136" s="654">
        <f t="shared" si="38"/>
        <v>0</v>
      </c>
      <c r="AA136" s="617"/>
      <c r="AB136" s="400" t="e">
        <f t="shared" si="29"/>
        <v>#DIV/0!</v>
      </c>
      <c r="AC136" s="397"/>
      <c r="AD136" s="654">
        <f t="shared" si="39"/>
        <v>0</v>
      </c>
      <c r="AE136" s="617"/>
      <c r="AF136" s="400" t="e">
        <f t="shared" si="0"/>
        <v>#DIV/0!</v>
      </c>
      <c r="AG136" s="397"/>
      <c r="AI136" s="611"/>
      <c r="AJ136" s="612"/>
      <c r="AK136" s="613"/>
    </row>
    <row r="137" spans="1:37" ht="49.5" hidden="1" customHeight="1">
      <c r="A137" s="506"/>
      <c r="B137" s="497"/>
      <c r="C137" s="497"/>
      <c r="D137" s="497"/>
      <c r="E137" s="529" t="s">
        <v>651</v>
      </c>
      <c r="F137" s="667"/>
      <c r="G137" s="403"/>
      <c r="H137" s="404" t="s">
        <v>604</v>
      </c>
      <c r="I137" s="403"/>
      <c r="J137" s="390"/>
      <c r="K137" s="390"/>
      <c r="L137" s="416" t="s">
        <v>435</v>
      </c>
      <c r="M137" s="508" t="s">
        <v>515</v>
      </c>
      <c r="N137" s="408">
        <v>15</v>
      </c>
      <c r="O137" s="505"/>
      <c r="P137" s="505"/>
      <c r="Q137" s="505"/>
      <c r="R137" s="505"/>
      <c r="S137" s="505"/>
      <c r="T137" s="505"/>
      <c r="U137" s="502"/>
      <c r="V137" s="502"/>
      <c r="W137" s="603"/>
      <c r="X137" s="597"/>
      <c r="Y137" s="602"/>
      <c r="Z137" s="654">
        <f t="shared" si="38"/>
        <v>0</v>
      </c>
      <c r="AA137" s="617"/>
      <c r="AB137" s="400"/>
      <c r="AC137" s="397"/>
      <c r="AD137" s="654">
        <f t="shared" si="39"/>
        <v>0</v>
      </c>
      <c r="AE137" s="617"/>
      <c r="AF137" s="400"/>
      <c r="AG137" s="397"/>
      <c r="AI137" s="611"/>
      <c r="AJ137" s="612"/>
      <c r="AK137" s="613"/>
    </row>
    <row r="138" spans="1:37" ht="53.25" hidden="1" customHeight="1">
      <c r="A138" s="506"/>
      <c r="B138" s="497"/>
      <c r="C138" s="497"/>
      <c r="D138" s="497"/>
      <c r="E138" s="529" t="s">
        <v>652</v>
      </c>
      <c r="F138" s="667"/>
      <c r="G138" s="403"/>
      <c r="H138" s="404" t="s">
        <v>604</v>
      </c>
      <c r="I138" s="403"/>
      <c r="J138" s="390"/>
      <c r="K138" s="390"/>
      <c r="L138" s="416" t="s">
        <v>435</v>
      </c>
      <c r="M138" s="508" t="s">
        <v>515</v>
      </c>
      <c r="N138" s="408">
        <v>10</v>
      </c>
      <c r="O138" s="505"/>
      <c r="P138" s="505"/>
      <c r="Q138" s="505"/>
      <c r="R138" s="505"/>
      <c r="S138" s="505"/>
      <c r="T138" s="505"/>
      <c r="U138" s="502"/>
      <c r="V138" s="502"/>
      <c r="W138" s="603"/>
      <c r="X138" s="597"/>
      <c r="Y138" s="602"/>
      <c r="Z138" s="654">
        <f t="shared" si="38"/>
        <v>0</v>
      </c>
      <c r="AA138" s="617"/>
      <c r="AB138" s="400" t="e">
        <f t="shared" si="29"/>
        <v>#DIV/0!</v>
      </c>
      <c r="AC138" s="397"/>
      <c r="AD138" s="654">
        <f t="shared" si="39"/>
        <v>0</v>
      </c>
      <c r="AE138" s="617"/>
      <c r="AF138" s="400" t="e">
        <f t="shared" si="0"/>
        <v>#DIV/0!</v>
      </c>
      <c r="AG138" s="397"/>
      <c r="AI138" s="611"/>
      <c r="AJ138" s="612"/>
      <c r="AK138" s="613"/>
    </row>
    <row r="139" spans="1:37" ht="54.75" hidden="1" customHeight="1">
      <c r="A139" s="506"/>
      <c r="B139" s="497"/>
      <c r="C139" s="497"/>
      <c r="D139" s="497"/>
      <c r="E139" s="529" t="s">
        <v>653</v>
      </c>
      <c r="F139" s="667"/>
      <c r="G139" s="403"/>
      <c r="H139" s="404" t="s">
        <v>604</v>
      </c>
      <c r="I139" s="403"/>
      <c r="J139" s="390"/>
      <c r="K139" s="390"/>
      <c r="L139" s="416" t="s">
        <v>435</v>
      </c>
      <c r="M139" s="508" t="s">
        <v>515</v>
      </c>
      <c r="N139" s="408">
        <v>10</v>
      </c>
      <c r="O139" s="505"/>
      <c r="P139" s="505"/>
      <c r="Q139" s="505"/>
      <c r="R139" s="505"/>
      <c r="S139" s="505"/>
      <c r="T139" s="505"/>
      <c r="U139" s="502"/>
      <c r="V139" s="502"/>
      <c r="W139" s="603"/>
      <c r="X139" s="597"/>
      <c r="Y139" s="602"/>
      <c r="Z139" s="654">
        <f t="shared" si="38"/>
        <v>0</v>
      </c>
      <c r="AA139" s="617"/>
      <c r="AB139" s="400"/>
      <c r="AC139" s="397"/>
      <c r="AD139" s="654">
        <f t="shared" si="39"/>
        <v>0</v>
      </c>
      <c r="AE139" s="617"/>
      <c r="AF139" s="400"/>
      <c r="AG139" s="397"/>
      <c r="AI139" s="611"/>
      <c r="AJ139" s="612"/>
      <c r="AK139" s="613"/>
    </row>
    <row r="140" spans="1:37" ht="43.15" hidden="1" customHeight="1" thickBot="1">
      <c r="A140" s="506"/>
      <c r="B140" s="497"/>
      <c r="C140" s="497"/>
      <c r="D140" s="497"/>
      <c r="E140" s="529" t="s">
        <v>603</v>
      </c>
      <c r="F140" s="667"/>
      <c r="G140" s="403"/>
      <c r="H140" s="404" t="s">
        <v>604</v>
      </c>
      <c r="I140" s="403"/>
      <c r="J140" s="390"/>
      <c r="K140" s="390"/>
      <c r="L140" s="416" t="s">
        <v>435</v>
      </c>
      <c r="M140" s="508" t="s">
        <v>515</v>
      </c>
      <c r="N140" s="408">
        <v>20000</v>
      </c>
      <c r="O140" s="505"/>
      <c r="P140" s="505"/>
      <c r="Q140" s="505"/>
      <c r="R140" s="505"/>
      <c r="S140" s="505"/>
      <c r="T140" s="505"/>
      <c r="U140" s="502"/>
      <c r="V140" s="502"/>
      <c r="W140" s="605"/>
      <c r="X140" s="606"/>
      <c r="Y140" s="607"/>
      <c r="Z140" s="654">
        <f t="shared" si="38"/>
        <v>0</v>
      </c>
      <c r="AA140" s="617"/>
      <c r="AB140" s="400" t="e">
        <f t="shared" si="29"/>
        <v>#DIV/0!</v>
      </c>
      <c r="AC140" s="397"/>
      <c r="AD140" s="654">
        <f t="shared" si="39"/>
        <v>0</v>
      </c>
      <c r="AE140" s="617"/>
      <c r="AF140" s="400" t="e">
        <f t="shared" si="0"/>
        <v>#DIV/0!</v>
      </c>
      <c r="AG140" s="397"/>
      <c r="AI140" s="618"/>
      <c r="AJ140" s="619"/>
      <c r="AK140" s="620"/>
    </row>
    <row r="141" spans="1:37" ht="43.15" hidden="1" customHeight="1" thickBot="1">
      <c r="A141" s="506"/>
      <c r="B141" s="497"/>
      <c r="C141" s="497"/>
      <c r="D141" s="497"/>
      <c r="E141" s="503"/>
      <c r="F141" s="397"/>
      <c r="G141" s="403"/>
      <c r="H141" s="404"/>
      <c r="I141" s="403"/>
      <c r="J141" s="390"/>
      <c r="K141" s="390"/>
      <c r="L141" s="416"/>
      <c r="M141" s="407"/>
      <c r="N141" s="408"/>
      <c r="O141" s="406"/>
      <c r="P141" s="406"/>
      <c r="Q141" s="406"/>
      <c r="R141" s="406"/>
      <c r="S141" s="406"/>
      <c r="T141" s="406"/>
      <c r="U141" s="409"/>
      <c r="V141" s="601"/>
      <c r="W141" s="601"/>
      <c r="X141" s="601"/>
      <c r="Y141" s="601"/>
      <c r="Z141" s="401"/>
      <c r="AA141" s="399"/>
      <c r="AB141" s="400" t="e">
        <f t="shared" si="29"/>
        <v>#DIV/0!</v>
      </c>
      <c r="AC141" s="397"/>
      <c r="AD141" s="398"/>
      <c r="AE141" s="399"/>
      <c r="AF141" s="400" t="e">
        <f t="shared" si="0"/>
        <v>#DIV/0!</v>
      </c>
      <c r="AG141" s="397"/>
    </row>
    <row r="142" spans="1:37" ht="43.15" hidden="1" customHeight="1">
      <c r="A142" s="506"/>
      <c r="B142" s="497"/>
      <c r="C142" s="497"/>
      <c r="D142" s="497"/>
      <c r="E142" s="498"/>
      <c r="F142" s="397"/>
      <c r="G142" s="403"/>
      <c r="H142" s="404"/>
      <c r="I142" s="403"/>
      <c r="J142" s="390"/>
      <c r="K142" s="390"/>
      <c r="L142" s="416"/>
      <c r="M142" s="407"/>
      <c r="N142" s="408"/>
      <c r="O142" s="406"/>
      <c r="P142" s="406"/>
      <c r="Q142" s="406"/>
      <c r="R142" s="406"/>
      <c r="S142" s="406"/>
      <c r="T142" s="406"/>
      <c r="U142" s="409"/>
      <c r="V142" s="599"/>
      <c r="W142" s="599"/>
      <c r="X142" s="599"/>
      <c r="Y142" s="599"/>
      <c r="Z142" s="401"/>
      <c r="AA142" s="399"/>
      <c r="AB142" s="400" t="e">
        <f t="shared" si="29"/>
        <v>#DIV/0!</v>
      </c>
      <c r="AC142" s="397"/>
      <c r="AD142" s="398"/>
      <c r="AE142" s="399"/>
      <c r="AF142" s="400" t="e">
        <f t="shared" si="0"/>
        <v>#DIV/0!</v>
      </c>
      <c r="AG142" s="397"/>
    </row>
    <row r="143" spans="1:37" ht="43.15" hidden="1" customHeight="1">
      <c r="A143" s="506"/>
      <c r="B143" s="497"/>
      <c r="C143" s="497"/>
      <c r="D143" s="497"/>
      <c r="E143" s="498"/>
      <c r="F143" s="397"/>
      <c r="G143" s="403"/>
      <c r="H143" s="404"/>
      <c r="I143" s="403"/>
      <c r="J143" s="390"/>
      <c r="K143" s="390"/>
      <c r="L143" s="416"/>
      <c r="M143" s="407"/>
      <c r="N143" s="408"/>
      <c r="O143" s="406"/>
      <c r="P143" s="406"/>
      <c r="Q143" s="406"/>
      <c r="R143" s="406"/>
      <c r="S143" s="406"/>
      <c r="T143" s="406"/>
      <c r="U143" s="409"/>
      <c r="V143" s="599"/>
      <c r="W143" s="599"/>
      <c r="X143" s="599"/>
      <c r="Y143" s="599"/>
      <c r="Z143" s="401"/>
      <c r="AA143" s="399"/>
      <c r="AB143" s="400" t="e">
        <f t="shared" si="29"/>
        <v>#DIV/0!</v>
      </c>
      <c r="AC143" s="397"/>
      <c r="AD143" s="398"/>
      <c r="AE143" s="399"/>
      <c r="AF143" s="400" t="e">
        <f t="shared" si="0"/>
        <v>#DIV/0!</v>
      </c>
      <c r="AG143" s="397"/>
    </row>
    <row r="144" spans="1:37" ht="43.15" hidden="1" customHeight="1">
      <c r="A144" s="506"/>
      <c r="B144" s="497"/>
      <c r="C144" s="497"/>
      <c r="D144" s="497"/>
      <c r="E144" s="498"/>
      <c r="F144" s="397"/>
      <c r="G144" s="403"/>
      <c r="H144" s="404"/>
      <c r="I144" s="403"/>
      <c r="J144" s="390"/>
      <c r="K144" s="390"/>
      <c r="L144" s="416"/>
      <c r="M144" s="407"/>
      <c r="N144" s="408"/>
      <c r="O144" s="406"/>
      <c r="P144" s="406"/>
      <c r="Q144" s="406"/>
      <c r="R144" s="406"/>
      <c r="S144" s="406"/>
      <c r="T144" s="406"/>
      <c r="U144" s="409"/>
      <c r="V144" s="599"/>
      <c r="W144" s="599"/>
      <c r="X144" s="599"/>
      <c r="Y144" s="599"/>
      <c r="Z144" s="401"/>
      <c r="AA144" s="399"/>
      <c r="AB144" s="400" t="e">
        <f t="shared" si="29"/>
        <v>#DIV/0!</v>
      </c>
      <c r="AC144" s="397"/>
      <c r="AD144" s="398"/>
      <c r="AE144" s="399"/>
      <c r="AF144" s="400" t="e">
        <f t="shared" si="0"/>
        <v>#DIV/0!</v>
      </c>
      <c r="AG144" s="397"/>
    </row>
    <row r="145" spans="1:33" ht="43.15" hidden="1" customHeight="1">
      <c r="A145" s="506"/>
      <c r="B145" s="497"/>
      <c r="C145" s="497"/>
      <c r="D145" s="497"/>
      <c r="E145" s="498"/>
      <c r="F145" s="397"/>
      <c r="G145" s="403"/>
      <c r="H145" s="404"/>
      <c r="I145" s="403"/>
      <c r="J145" s="390"/>
      <c r="K145" s="390"/>
      <c r="L145" s="416"/>
      <c r="M145" s="407"/>
      <c r="N145" s="408"/>
      <c r="O145" s="406"/>
      <c r="P145" s="406"/>
      <c r="Q145" s="406"/>
      <c r="R145" s="406"/>
      <c r="S145" s="406"/>
      <c r="T145" s="406"/>
      <c r="U145" s="409"/>
      <c r="V145" s="599"/>
      <c r="W145" s="599"/>
      <c r="X145" s="599"/>
      <c r="Y145" s="599"/>
      <c r="Z145" s="401"/>
      <c r="AA145" s="399"/>
      <c r="AB145" s="400" t="e">
        <f t="shared" ref="AB145:AB200" si="40">AA145/Z145</f>
        <v>#DIV/0!</v>
      </c>
      <c r="AC145" s="397"/>
      <c r="AD145" s="398"/>
      <c r="AE145" s="399"/>
      <c r="AF145" s="400" t="e">
        <f t="shared" ref="AF145:AF200" si="41">AE145/AD145</f>
        <v>#DIV/0!</v>
      </c>
      <c r="AG145" s="397"/>
    </row>
    <row r="146" spans="1:33" ht="43.15" hidden="1" customHeight="1">
      <c r="A146" s="506"/>
      <c r="B146" s="497"/>
      <c r="C146" s="497"/>
      <c r="D146" s="497"/>
      <c r="E146" s="498"/>
      <c r="F146" s="397"/>
      <c r="G146" s="403"/>
      <c r="H146" s="404"/>
      <c r="I146" s="403"/>
      <c r="J146" s="390"/>
      <c r="K146" s="390"/>
      <c r="L146" s="416"/>
      <c r="M146" s="407"/>
      <c r="N146" s="408"/>
      <c r="O146" s="406"/>
      <c r="P146" s="406"/>
      <c r="Q146" s="406"/>
      <c r="R146" s="406"/>
      <c r="S146" s="406"/>
      <c r="T146" s="406"/>
      <c r="U146" s="409"/>
      <c r="V146" s="599"/>
      <c r="W146" s="599"/>
      <c r="X146" s="599"/>
      <c r="Y146" s="599"/>
      <c r="Z146" s="401"/>
      <c r="AA146" s="399"/>
      <c r="AB146" s="400" t="e">
        <f t="shared" si="40"/>
        <v>#DIV/0!</v>
      </c>
      <c r="AC146" s="397"/>
      <c r="AD146" s="398"/>
      <c r="AE146" s="399"/>
      <c r="AF146" s="400" t="e">
        <f t="shared" si="41"/>
        <v>#DIV/0!</v>
      </c>
      <c r="AG146" s="397"/>
    </row>
    <row r="147" spans="1:33" ht="43.15" hidden="1" customHeight="1">
      <c r="A147" s="506"/>
      <c r="B147" s="497"/>
      <c r="C147" s="497"/>
      <c r="D147" s="497"/>
      <c r="E147" s="498"/>
      <c r="F147" s="397"/>
      <c r="G147" s="403"/>
      <c r="H147" s="404"/>
      <c r="I147" s="403"/>
      <c r="J147" s="390"/>
      <c r="K147" s="390"/>
      <c r="L147" s="416"/>
      <c r="M147" s="407"/>
      <c r="N147" s="408"/>
      <c r="O147" s="406"/>
      <c r="P147" s="406"/>
      <c r="Q147" s="406"/>
      <c r="R147" s="406"/>
      <c r="S147" s="406"/>
      <c r="T147" s="406"/>
      <c r="U147" s="409"/>
      <c r="V147" s="599"/>
      <c r="W147" s="599"/>
      <c r="X147" s="599"/>
      <c r="Y147" s="599"/>
      <c r="Z147" s="401"/>
      <c r="AA147" s="399"/>
      <c r="AB147" s="400" t="e">
        <f t="shared" si="40"/>
        <v>#DIV/0!</v>
      </c>
      <c r="AC147" s="397"/>
      <c r="AD147" s="398"/>
      <c r="AE147" s="399"/>
      <c r="AF147" s="400" t="e">
        <f t="shared" si="41"/>
        <v>#DIV/0!</v>
      </c>
      <c r="AG147" s="397"/>
    </row>
    <row r="148" spans="1:33" ht="43.15" hidden="1" customHeight="1">
      <c r="A148" s="506"/>
      <c r="B148" s="497"/>
      <c r="C148" s="497"/>
      <c r="D148" s="497"/>
      <c r="E148" s="498"/>
      <c r="F148" s="397"/>
      <c r="G148" s="403"/>
      <c r="H148" s="404"/>
      <c r="I148" s="403"/>
      <c r="J148" s="390"/>
      <c r="K148" s="390"/>
      <c r="L148" s="416"/>
      <c r="M148" s="407"/>
      <c r="N148" s="408"/>
      <c r="O148" s="406"/>
      <c r="P148" s="406"/>
      <c r="Q148" s="406"/>
      <c r="R148" s="406"/>
      <c r="S148" s="406"/>
      <c r="T148" s="406"/>
      <c r="U148" s="409"/>
      <c r="V148" s="599"/>
      <c r="W148" s="599"/>
      <c r="X148" s="599"/>
      <c r="Y148" s="599"/>
      <c r="Z148" s="401"/>
      <c r="AA148" s="399"/>
      <c r="AB148" s="400" t="e">
        <f t="shared" si="40"/>
        <v>#DIV/0!</v>
      </c>
      <c r="AC148" s="397"/>
      <c r="AD148" s="398"/>
      <c r="AE148" s="399"/>
      <c r="AF148" s="400" t="e">
        <f t="shared" si="41"/>
        <v>#DIV/0!</v>
      </c>
      <c r="AG148" s="397"/>
    </row>
    <row r="149" spans="1:33" ht="43.15" hidden="1" customHeight="1">
      <c r="A149" s="506"/>
      <c r="B149" s="497"/>
      <c r="C149" s="497"/>
      <c r="D149" s="497"/>
      <c r="E149" s="498"/>
      <c r="F149" s="397"/>
      <c r="G149" s="403"/>
      <c r="H149" s="404"/>
      <c r="I149" s="403"/>
      <c r="J149" s="390"/>
      <c r="K149" s="390"/>
      <c r="L149" s="416"/>
      <c r="M149" s="407"/>
      <c r="N149" s="408"/>
      <c r="O149" s="406"/>
      <c r="P149" s="406"/>
      <c r="Q149" s="406"/>
      <c r="R149" s="406"/>
      <c r="S149" s="406"/>
      <c r="T149" s="406"/>
      <c r="U149" s="409"/>
      <c r="V149" s="599"/>
      <c r="W149" s="599"/>
      <c r="X149" s="599"/>
      <c r="Y149" s="599"/>
      <c r="Z149" s="401"/>
      <c r="AA149" s="399"/>
      <c r="AB149" s="400" t="e">
        <f t="shared" si="40"/>
        <v>#DIV/0!</v>
      </c>
      <c r="AC149" s="397"/>
      <c r="AD149" s="398"/>
      <c r="AE149" s="399"/>
      <c r="AF149" s="400" t="e">
        <f t="shared" si="41"/>
        <v>#DIV/0!</v>
      </c>
      <c r="AG149" s="397"/>
    </row>
    <row r="150" spans="1:33" ht="43.15" hidden="1" customHeight="1">
      <c r="A150" s="506"/>
      <c r="B150" s="497"/>
      <c r="C150" s="497"/>
      <c r="D150" s="497"/>
      <c r="E150" s="498"/>
      <c r="F150" s="397"/>
      <c r="G150" s="403"/>
      <c r="H150" s="404"/>
      <c r="I150" s="403"/>
      <c r="J150" s="390"/>
      <c r="K150" s="390"/>
      <c r="L150" s="416"/>
      <c r="M150" s="407"/>
      <c r="N150" s="408"/>
      <c r="O150" s="406"/>
      <c r="P150" s="406"/>
      <c r="Q150" s="406"/>
      <c r="R150" s="406"/>
      <c r="S150" s="406"/>
      <c r="T150" s="406"/>
      <c r="U150" s="409"/>
      <c r="V150" s="599"/>
      <c r="W150" s="599"/>
      <c r="X150" s="599"/>
      <c r="Y150" s="599"/>
      <c r="Z150" s="401"/>
      <c r="AA150" s="399"/>
      <c r="AB150" s="400" t="e">
        <f t="shared" si="40"/>
        <v>#DIV/0!</v>
      </c>
      <c r="AC150" s="397"/>
      <c r="AD150" s="398"/>
      <c r="AE150" s="399"/>
      <c r="AF150" s="400" t="e">
        <f t="shared" si="41"/>
        <v>#DIV/0!</v>
      </c>
      <c r="AG150" s="397"/>
    </row>
    <row r="151" spans="1:33" ht="43.15" hidden="1" customHeight="1">
      <c r="A151" s="506"/>
      <c r="B151" s="497"/>
      <c r="C151" s="497"/>
      <c r="D151" s="497"/>
      <c r="E151" s="498"/>
      <c r="F151" s="397"/>
      <c r="G151" s="403"/>
      <c r="H151" s="404"/>
      <c r="I151" s="403"/>
      <c r="J151" s="390"/>
      <c r="K151" s="390"/>
      <c r="L151" s="416"/>
      <c r="M151" s="407"/>
      <c r="N151" s="408"/>
      <c r="O151" s="406"/>
      <c r="P151" s="406"/>
      <c r="Q151" s="406"/>
      <c r="R151" s="406"/>
      <c r="S151" s="406"/>
      <c r="T151" s="406"/>
      <c r="U151" s="409"/>
      <c r="V151" s="599"/>
      <c r="W151" s="599"/>
      <c r="X151" s="599"/>
      <c r="Y151" s="599"/>
      <c r="Z151" s="401"/>
      <c r="AA151" s="399"/>
      <c r="AB151" s="400" t="e">
        <f t="shared" si="40"/>
        <v>#DIV/0!</v>
      </c>
      <c r="AC151" s="397"/>
      <c r="AD151" s="398"/>
      <c r="AE151" s="399"/>
      <c r="AF151" s="400" t="e">
        <f t="shared" si="41"/>
        <v>#DIV/0!</v>
      </c>
      <c r="AG151" s="397"/>
    </row>
    <row r="152" spans="1:33" ht="43.15" hidden="1" customHeight="1">
      <c r="A152" s="506"/>
      <c r="B152" s="497"/>
      <c r="C152" s="497"/>
      <c r="D152" s="497"/>
      <c r="E152" s="498"/>
      <c r="F152" s="397"/>
      <c r="G152" s="403"/>
      <c r="H152" s="404"/>
      <c r="I152" s="403"/>
      <c r="J152" s="390"/>
      <c r="K152" s="390"/>
      <c r="L152" s="416"/>
      <c r="M152" s="407"/>
      <c r="N152" s="408"/>
      <c r="O152" s="406"/>
      <c r="P152" s="406"/>
      <c r="Q152" s="406"/>
      <c r="R152" s="406"/>
      <c r="S152" s="406"/>
      <c r="T152" s="406"/>
      <c r="U152" s="409"/>
      <c r="V152" s="599"/>
      <c r="W152" s="599"/>
      <c r="X152" s="599"/>
      <c r="Y152" s="599"/>
      <c r="Z152" s="401"/>
      <c r="AA152" s="399"/>
      <c r="AB152" s="400" t="e">
        <f t="shared" si="40"/>
        <v>#DIV/0!</v>
      </c>
      <c r="AC152" s="397"/>
      <c r="AD152" s="398"/>
      <c r="AE152" s="399"/>
      <c r="AF152" s="400" t="e">
        <f t="shared" si="41"/>
        <v>#DIV/0!</v>
      </c>
      <c r="AG152" s="397"/>
    </row>
    <row r="153" spans="1:33" ht="43.15" hidden="1" customHeight="1">
      <c r="A153" s="506"/>
      <c r="B153" s="497"/>
      <c r="C153" s="497"/>
      <c r="D153" s="497"/>
      <c r="E153" s="498"/>
      <c r="F153" s="397"/>
      <c r="G153" s="403"/>
      <c r="H153" s="404"/>
      <c r="I153" s="403"/>
      <c r="J153" s="390"/>
      <c r="K153" s="390"/>
      <c r="L153" s="416"/>
      <c r="M153" s="407"/>
      <c r="N153" s="408"/>
      <c r="O153" s="406"/>
      <c r="P153" s="406"/>
      <c r="Q153" s="406"/>
      <c r="R153" s="406"/>
      <c r="S153" s="406"/>
      <c r="T153" s="406"/>
      <c r="U153" s="409"/>
      <c r="V153" s="599"/>
      <c r="W153" s="599"/>
      <c r="X153" s="599"/>
      <c r="Y153" s="599"/>
      <c r="Z153" s="401"/>
      <c r="AA153" s="399"/>
      <c r="AB153" s="400" t="e">
        <f t="shared" si="40"/>
        <v>#DIV/0!</v>
      </c>
      <c r="AC153" s="397"/>
      <c r="AD153" s="398"/>
      <c r="AE153" s="399"/>
      <c r="AF153" s="400" t="e">
        <f t="shared" si="41"/>
        <v>#DIV/0!</v>
      </c>
      <c r="AG153" s="397"/>
    </row>
    <row r="154" spans="1:33" ht="43.15" hidden="1" customHeight="1">
      <c r="A154" s="506"/>
      <c r="B154" s="497"/>
      <c r="C154" s="497"/>
      <c r="D154" s="497"/>
      <c r="E154" s="498"/>
      <c r="F154" s="397"/>
      <c r="G154" s="403"/>
      <c r="H154" s="404"/>
      <c r="I154" s="403"/>
      <c r="J154" s="390"/>
      <c r="K154" s="390"/>
      <c r="L154" s="416"/>
      <c r="M154" s="407"/>
      <c r="N154" s="408"/>
      <c r="O154" s="406"/>
      <c r="P154" s="406"/>
      <c r="Q154" s="406"/>
      <c r="R154" s="406"/>
      <c r="S154" s="406"/>
      <c r="T154" s="406"/>
      <c r="U154" s="409"/>
      <c r="V154" s="599"/>
      <c r="W154" s="599"/>
      <c r="X154" s="599"/>
      <c r="Y154" s="599"/>
      <c r="Z154" s="401"/>
      <c r="AA154" s="399"/>
      <c r="AB154" s="400" t="e">
        <f t="shared" si="40"/>
        <v>#DIV/0!</v>
      </c>
      <c r="AC154" s="397"/>
      <c r="AD154" s="398"/>
      <c r="AE154" s="399"/>
      <c r="AF154" s="400" t="e">
        <f t="shared" si="41"/>
        <v>#DIV/0!</v>
      </c>
      <c r="AG154" s="397"/>
    </row>
    <row r="155" spans="1:33" ht="43.15" hidden="1" customHeight="1">
      <c r="A155" s="506"/>
      <c r="B155" s="497"/>
      <c r="C155" s="497"/>
      <c r="D155" s="497"/>
      <c r="E155" s="498"/>
      <c r="F155" s="397"/>
      <c r="G155" s="403"/>
      <c r="H155" s="404"/>
      <c r="I155" s="403"/>
      <c r="J155" s="390"/>
      <c r="K155" s="390"/>
      <c r="L155" s="416"/>
      <c r="M155" s="407"/>
      <c r="N155" s="408"/>
      <c r="O155" s="406"/>
      <c r="P155" s="406"/>
      <c r="Q155" s="406"/>
      <c r="R155" s="406"/>
      <c r="S155" s="406"/>
      <c r="T155" s="406"/>
      <c r="U155" s="409"/>
      <c r="V155" s="599"/>
      <c r="W155" s="599"/>
      <c r="X155" s="599"/>
      <c r="Y155" s="599"/>
      <c r="Z155" s="401"/>
      <c r="AA155" s="399"/>
      <c r="AB155" s="400" t="e">
        <f t="shared" si="40"/>
        <v>#DIV/0!</v>
      </c>
      <c r="AC155" s="397"/>
      <c r="AD155" s="398"/>
      <c r="AE155" s="399"/>
      <c r="AF155" s="400" t="e">
        <f t="shared" si="41"/>
        <v>#DIV/0!</v>
      </c>
      <c r="AG155" s="397"/>
    </row>
    <row r="156" spans="1:33" ht="43.15" hidden="1" customHeight="1">
      <c r="A156" s="506"/>
      <c r="B156" s="497"/>
      <c r="C156" s="497"/>
      <c r="D156" s="497"/>
      <c r="E156" s="498"/>
      <c r="F156" s="397"/>
      <c r="G156" s="403"/>
      <c r="H156" s="404"/>
      <c r="I156" s="403"/>
      <c r="J156" s="390"/>
      <c r="K156" s="390"/>
      <c r="L156" s="416"/>
      <c r="M156" s="407"/>
      <c r="N156" s="408"/>
      <c r="O156" s="406"/>
      <c r="P156" s="406"/>
      <c r="Q156" s="406"/>
      <c r="R156" s="406"/>
      <c r="S156" s="406"/>
      <c r="T156" s="406"/>
      <c r="U156" s="409"/>
      <c r="V156" s="599"/>
      <c r="W156" s="599"/>
      <c r="X156" s="599"/>
      <c r="Y156" s="599"/>
      <c r="Z156" s="401"/>
      <c r="AA156" s="399"/>
      <c r="AB156" s="400" t="e">
        <f t="shared" si="40"/>
        <v>#DIV/0!</v>
      </c>
      <c r="AC156" s="397"/>
      <c r="AD156" s="398"/>
      <c r="AE156" s="399"/>
      <c r="AF156" s="400" t="e">
        <f t="shared" si="41"/>
        <v>#DIV/0!</v>
      </c>
      <c r="AG156" s="397"/>
    </row>
    <row r="157" spans="1:33" ht="43.15" hidden="1" customHeight="1">
      <c r="A157" s="506"/>
      <c r="B157" s="497"/>
      <c r="C157" s="497"/>
      <c r="D157" s="497"/>
      <c r="E157" s="498"/>
      <c r="F157" s="397"/>
      <c r="G157" s="403"/>
      <c r="H157" s="404"/>
      <c r="I157" s="403"/>
      <c r="J157" s="390"/>
      <c r="K157" s="390"/>
      <c r="L157" s="416"/>
      <c r="M157" s="407"/>
      <c r="N157" s="408"/>
      <c r="O157" s="406"/>
      <c r="P157" s="406"/>
      <c r="Q157" s="406"/>
      <c r="R157" s="406"/>
      <c r="S157" s="406"/>
      <c r="T157" s="406"/>
      <c r="U157" s="409"/>
      <c r="V157" s="599"/>
      <c r="W157" s="599"/>
      <c r="X157" s="599"/>
      <c r="Y157" s="599"/>
      <c r="Z157" s="401"/>
      <c r="AA157" s="399"/>
      <c r="AB157" s="400" t="e">
        <f t="shared" si="40"/>
        <v>#DIV/0!</v>
      </c>
      <c r="AC157" s="397"/>
      <c r="AD157" s="398"/>
      <c r="AE157" s="399"/>
      <c r="AF157" s="400" t="e">
        <f t="shared" si="41"/>
        <v>#DIV/0!</v>
      </c>
      <c r="AG157" s="397"/>
    </row>
    <row r="158" spans="1:33" ht="43.15" hidden="1" customHeight="1">
      <c r="A158" s="506"/>
      <c r="B158" s="497"/>
      <c r="C158" s="497"/>
      <c r="D158" s="497"/>
      <c r="E158" s="498"/>
      <c r="F158" s="397"/>
      <c r="G158" s="403"/>
      <c r="H158" s="404"/>
      <c r="I158" s="403"/>
      <c r="J158" s="390"/>
      <c r="K158" s="390"/>
      <c r="L158" s="416"/>
      <c r="M158" s="407"/>
      <c r="N158" s="408"/>
      <c r="O158" s="406"/>
      <c r="P158" s="406"/>
      <c r="Q158" s="406"/>
      <c r="R158" s="406"/>
      <c r="S158" s="406"/>
      <c r="T158" s="406"/>
      <c r="U158" s="409"/>
      <c r="V158" s="599"/>
      <c r="W158" s="599"/>
      <c r="X158" s="599"/>
      <c r="Y158" s="599"/>
      <c r="Z158" s="401"/>
      <c r="AA158" s="399"/>
      <c r="AB158" s="400" t="e">
        <f t="shared" si="40"/>
        <v>#DIV/0!</v>
      </c>
      <c r="AC158" s="397"/>
      <c r="AD158" s="398"/>
      <c r="AE158" s="399"/>
      <c r="AF158" s="400" t="e">
        <f t="shared" si="41"/>
        <v>#DIV/0!</v>
      </c>
      <c r="AG158" s="397"/>
    </row>
    <row r="159" spans="1:33" ht="43.15" hidden="1" customHeight="1">
      <c r="A159" s="506"/>
      <c r="B159" s="497"/>
      <c r="C159" s="497"/>
      <c r="D159" s="497"/>
      <c r="E159" s="498"/>
      <c r="F159" s="397"/>
      <c r="G159" s="403"/>
      <c r="H159" s="404"/>
      <c r="I159" s="403"/>
      <c r="J159" s="390"/>
      <c r="K159" s="390"/>
      <c r="L159" s="416"/>
      <c r="M159" s="407"/>
      <c r="N159" s="408"/>
      <c r="O159" s="406"/>
      <c r="P159" s="406"/>
      <c r="Q159" s="406"/>
      <c r="R159" s="406"/>
      <c r="S159" s="406"/>
      <c r="T159" s="406"/>
      <c r="U159" s="409"/>
      <c r="V159" s="599"/>
      <c r="W159" s="599"/>
      <c r="X159" s="599"/>
      <c r="Y159" s="599"/>
      <c r="Z159" s="401"/>
      <c r="AA159" s="399"/>
      <c r="AB159" s="400" t="e">
        <f t="shared" si="40"/>
        <v>#DIV/0!</v>
      </c>
      <c r="AC159" s="397"/>
      <c r="AD159" s="398"/>
      <c r="AE159" s="399"/>
      <c r="AF159" s="400" t="e">
        <f t="shared" si="41"/>
        <v>#DIV/0!</v>
      </c>
      <c r="AG159" s="397"/>
    </row>
    <row r="160" spans="1:33" ht="43.15" hidden="1" customHeight="1">
      <c r="A160" s="506"/>
      <c r="B160" s="497"/>
      <c r="C160" s="497"/>
      <c r="D160" s="497"/>
      <c r="E160" s="498"/>
      <c r="F160" s="397"/>
      <c r="G160" s="403"/>
      <c r="H160" s="404"/>
      <c r="I160" s="403"/>
      <c r="J160" s="390"/>
      <c r="K160" s="390"/>
      <c r="L160" s="416"/>
      <c r="M160" s="407"/>
      <c r="N160" s="408"/>
      <c r="O160" s="406"/>
      <c r="P160" s="406"/>
      <c r="Q160" s="406"/>
      <c r="R160" s="406"/>
      <c r="S160" s="406"/>
      <c r="T160" s="406"/>
      <c r="U160" s="409"/>
      <c r="V160" s="599"/>
      <c r="W160" s="599"/>
      <c r="X160" s="599"/>
      <c r="Y160" s="599"/>
      <c r="Z160" s="401"/>
      <c r="AA160" s="399"/>
      <c r="AB160" s="400" t="e">
        <f t="shared" si="40"/>
        <v>#DIV/0!</v>
      </c>
      <c r="AC160" s="397"/>
      <c r="AD160" s="398"/>
      <c r="AE160" s="399"/>
      <c r="AF160" s="400" t="e">
        <f t="shared" si="41"/>
        <v>#DIV/0!</v>
      </c>
      <c r="AG160" s="397"/>
    </row>
    <row r="161" spans="1:33" ht="43.15" hidden="1" customHeight="1">
      <c r="A161" s="506"/>
      <c r="B161" s="497"/>
      <c r="C161" s="497"/>
      <c r="D161" s="497"/>
      <c r="E161" s="498"/>
      <c r="F161" s="397"/>
      <c r="G161" s="403"/>
      <c r="H161" s="404"/>
      <c r="I161" s="403"/>
      <c r="J161" s="390"/>
      <c r="K161" s="390"/>
      <c r="L161" s="416"/>
      <c r="M161" s="407"/>
      <c r="N161" s="408"/>
      <c r="O161" s="406"/>
      <c r="P161" s="406"/>
      <c r="Q161" s="406"/>
      <c r="R161" s="406"/>
      <c r="S161" s="406"/>
      <c r="T161" s="406"/>
      <c r="U161" s="409"/>
      <c r="V161" s="599"/>
      <c r="W161" s="599"/>
      <c r="X161" s="599"/>
      <c r="Y161" s="599"/>
      <c r="Z161" s="401"/>
      <c r="AA161" s="399"/>
      <c r="AB161" s="400" t="e">
        <f t="shared" si="40"/>
        <v>#DIV/0!</v>
      </c>
      <c r="AC161" s="397"/>
      <c r="AD161" s="398"/>
      <c r="AE161" s="399"/>
      <c r="AF161" s="400" t="e">
        <f t="shared" si="41"/>
        <v>#DIV/0!</v>
      </c>
      <c r="AG161" s="397"/>
    </row>
    <row r="162" spans="1:33" ht="43.15" hidden="1" customHeight="1">
      <c r="A162" s="506"/>
      <c r="B162" s="497"/>
      <c r="C162" s="497"/>
      <c r="D162" s="497"/>
      <c r="E162" s="498"/>
      <c r="F162" s="397"/>
      <c r="G162" s="403"/>
      <c r="H162" s="404"/>
      <c r="I162" s="403"/>
      <c r="J162" s="390"/>
      <c r="K162" s="390"/>
      <c r="L162" s="416"/>
      <c r="M162" s="407"/>
      <c r="N162" s="408"/>
      <c r="O162" s="406"/>
      <c r="P162" s="406"/>
      <c r="Q162" s="406"/>
      <c r="R162" s="406"/>
      <c r="S162" s="406"/>
      <c r="T162" s="406"/>
      <c r="U162" s="409"/>
      <c r="V162" s="599"/>
      <c r="W162" s="599"/>
      <c r="X162" s="599"/>
      <c r="Y162" s="599"/>
      <c r="Z162" s="401"/>
      <c r="AA162" s="399"/>
      <c r="AB162" s="400" t="e">
        <f t="shared" si="40"/>
        <v>#DIV/0!</v>
      </c>
      <c r="AC162" s="397"/>
      <c r="AD162" s="398"/>
      <c r="AE162" s="399"/>
      <c r="AF162" s="400" t="e">
        <f t="shared" si="41"/>
        <v>#DIV/0!</v>
      </c>
      <c r="AG162" s="397"/>
    </row>
    <row r="163" spans="1:33" ht="43.15" hidden="1" customHeight="1">
      <c r="A163" s="506"/>
      <c r="B163" s="497"/>
      <c r="C163" s="497"/>
      <c r="D163" s="497"/>
      <c r="E163" s="498"/>
      <c r="F163" s="397"/>
      <c r="G163" s="403"/>
      <c r="H163" s="404"/>
      <c r="I163" s="403"/>
      <c r="J163" s="390"/>
      <c r="K163" s="390"/>
      <c r="L163" s="416"/>
      <c r="M163" s="407"/>
      <c r="N163" s="408"/>
      <c r="O163" s="406"/>
      <c r="P163" s="406"/>
      <c r="Q163" s="406"/>
      <c r="R163" s="406"/>
      <c r="S163" s="406"/>
      <c r="T163" s="406"/>
      <c r="U163" s="409"/>
      <c r="V163" s="599"/>
      <c r="W163" s="599"/>
      <c r="X163" s="599"/>
      <c r="Y163" s="599"/>
      <c r="Z163" s="401"/>
      <c r="AA163" s="399"/>
      <c r="AB163" s="400" t="e">
        <f t="shared" si="40"/>
        <v>#DIV/0!</v>
      </c>
      <c r="AC163" s="397"/>
      <c r="AD163" s="398"/>
      <c r="AE163" s="399"/>
      <c r="AF163" s="400" t="e">
        <f t="shared" si="41"/>
        <v>#DIV/0!</v>
      </c>
      <c r="AG163" s="397"/>
    </row>
    <row r="164" spans="1:33" ht="43.15" hidden="1" customHeight="1">
      <c r="A164" s="506"/>
      <c r="B164" s="497"/>
      <c r="C164" s="497"/>
      <c r="D164" s="497"/>
      <c r="E164" s="498"/>
      <c r="F164" s="397"/>
      <c r="G164" s="403"/>
      <c r="H164" s="404"/>
      <c r="I164" s="403"/>
      <c r="J164" s="390"/>
      <c r="K164" s="390"/>
      <c r="L164" s="416"/>
      <c r="M164" s="407"/>
      <c r="N164" s="408"/>
      <c r="O164" s="406"/>
      <c r="P164" s="406"/>
      <c r="Q164" s="406"/>
      <c r="R164" s="406"/>
      <c r="S164" s="406"/>
      <c r="T164" s="406"/>
      <c r="U164" s="409"/>
      <c r="V164" s="599"/>
      <c r="W164" s="599"/>
      <c r="X164" s="599"/>
      <c r="Y164" s="599"/>
      <c r="Z164" s="401"/>
      <c r="AA164" s="399"/>
      <c r="AB164" s="400" t="e">
        <f t="shared" si="40"/>
        <v>#DIV/0!</v>
      </c>
      <c r="AC164" s="397"/>
      <c r="AD164" s="398"/>
      <c r="AE164" s="399"/>
      <c r="AF164" s="400" t="e">
        <f t="shared" si="41"/>
        <v>#DIV/0!</v>
      </c>
      <c r="AG164" s="397"/>
    </row>
    <row r="165" spans="1:33" ht="43.15" hidden="1" customHeight="1">
      <c r="A165" s="506"/>
      <c r="B165" s="497"/>
      <c r="C165" s="497"/>
      <c r="D165" s="497"/>
      <c r="E165" s="498"/>
      <c r="F165" s="397"/>
      <c r="G165" s="403"/>
      <c r="H165" s="404"/>
      <c r="I165" s="403"/>
      <c r="J165" s="390"/>
      <c r="K165" s="390"/>
      <c r="L165" s="416"/>
      <c r="M165" s="407"/>
      <c r="N165" s="408"/>
      <c r="O165" s="406"/>
      <c r="P165" s="406"/>
      <c r="Q165" s="406"/>
      <c r="R165" s="406"/>
      <c r="S165" s="406"/>
      <c r="T165" s="406"/>
      <c r="U165" s="409"/>
      <c r="V165" s="599"/>
      <c r="W165" s="599"/>
      <c r="X165" s="599"/>
      <c r="Y165" s="599"/>
      <c r="Z165" s="401"/>
      <c r="AA165" s="399"/>
      <c r="AB165" s="400" t="e">
        <f t="shared" si="40"/>
        <v>#DIV/0!</v>
      </c>
      <c r="AC165" s="397"/>
      <c r="AD165" s="398"/>
      <c r="AE165" s="399"/>
      <c r="AF165" s="400" t="e">
        <f t="shared" si="41"/>
        <v>#DIV/0!</v>
      </c>
      <c r="AG165" s="397"/>
    </row>
    <row r="166" spans="1:33" ht="43.15" hidden="1" customHeight="1">
      <c r="A166" s="506"/>
      <c r="B166" s="497"/>
      <c r="C166" s="497"/>
      <c r="D166" s="497"/>
      <c r="E166" s="498"/>
      <c r="F166" s="397"/>
      <c r="G166" s="403"/>
      <c r="H166" s="404"/>
      <c r="I166" s="403"/>
      <c r="J166" s="390"/>
      <c r="K166" s="390"/>
      <c r="L166" s="416"/>
      <c r="M166" s="407"/>
      <c r="N166" s="408"/>
      <c r="O166" s="406"/>
      <c r="P166" s="406"/>
      <c r="Q166" s="406"/>
      <c r="R166" s="406"/>
      <c r="S166" s="406"/>
      <c r="T166" s="406"/>
      <c r="U166" s="409"/>
      <c r="V166" s="599"/>
      <c r="W166" s="599"/>
      <c r="X166" s="599"/>
      <c r="Y166" s="599"/>
      <c r="Z166" s="401"/>
      <c r="AA166" s="399"/>
      <c r="AB166" s="400" t="e">
        <f t="shared" si="40"/>
        <v>#DIV/0!</v>
      </c>
      <c r="AC166" s="397"/>
      <c r="AD166" s="398"/>
      <c r="AE166" s="399"/>
      <c r="AF166" s="400" t="e">
        <f t="shared" si="41"/>
        <v>#DIV/0!</v>
      </c>
      <c r="AG166" s="397"/>
    </row>
    <row r="167" spans="1:33" ht="43.15" hidden="1" customHeight="1">
      <c r="A167" s="506"/>
      <c r="B167" s="497"/>
      <c r="C167" s="497"/>
      <c r="D167" s="497"/>
      <c r="E167" s="498"/>
      <c r="F167" s="397"/>
      <c r="G167" s="403"/>
      <c r="H167" s="404"/>
      <c r="I167" s="403"/>
      <c r="J167" s="390"/>
      <c r="K167" s="390"/>
      <c r="L167" s="416"/>
      <c r="M167" s="407"/>
      <c r="N167" s="408"/>
      <c r="O167" s="406"/>
      <c r="P167" s="406"/>
      <c r="Q167" s="406"/>
      <c r="R167" s="406"/>
      <c r="S167" s="406"/>
      <c r="T167" s="406"/>
      <c r="U167" s="409"/>
      <c r="V167" s="599"/>
      <c r="W167" s="599"/>
      <c r="X167" s="599"/>
      <c r="Y167" s="599"/>
      <c r="Z167" s="401"/>
      <c r="AA167" s="399"/>
      <c r="AB167" s="400" t="e">
        <f t="shared" si="40"/>
        <v>#DIV/0!</v>
      </c>
      <c r="AC167" s="397"/>
      <c r="AD167" s="398"/>
      <c r="AE167" s="399"/>
      <c r="AF167" s="400" t="e">
        <f t="shared" si="41"/>
        <v>#DIV/0!</v>
      </c>
      <c r="AG167" s="397"/>
    </row>
    <row r="168" spans="1:33" ht="43.15" hidden="1" customHeight="1">
      <c r="A168" s="506"/>
      <c r="B168" s="497"/>
      <c r="C168" s="497"/>
      <c r="D168" s="497"/>
      <c r="E168" s="498"/>
      <c r="F168" s="397"/>
      <c r="G168" s="403"/>
      <c r="H168" s="404"/>
      <c r="I168" s="403"/>
      <c r="J168" s="390"/>
      <c r="K168" s="390"/>
      <c r="L168" s="416"/>
      <c r="M168" s="407"/>
      <c r="N168" s="408"/>
      <c r="O168" s="406"/>
      <c r="P168" s="406"/>
      <c r="Q168" s="406"/>
      <c r="R168" s="406"/>
      <c r="S168" s="406"/>
      <c r="T168" s="406"/>
      <c r="U168" s="409"/>
      <c r="V168" s="599"/>
      <c r="W168" s="599"/>
      <c r="X168" s="599"/>
      <c r="Y168" s="599"/>
      <c r="Z168" s="401"/>
      <c r="AA168" s="399"/>
      <c r="AB168" s="400" t="e">
        <f t="shared" si="40"/>
        <v>#DIV/0!</v>
      </c>
      <c r="AC168" s="397"/>
      <c r="AD168" s="398"/>
      <c r="AE168" s="399"/>
      <c r="AF168" s="400" t="e">
        <f t="shared" si="41"/>
        <v>#DIV/0!</v>
      </c>
      <c r="AG168" s="397"/>
    </row>
    <row r="169" spans="1:33" ht="19.899999999999999" hidden="1" customHeight="1">
      <c r="A169" s="506"/>
      <c r="B169" s="497"/>
      <c r="C169" s="497"/>
      <c r="D169" s="497"/>
      <c r="E169" s="498"/>
      <c r="F169" s="397"/>
      <c r="G169" s="403"/>
      <c r="H169" s="404"/>
      <c r="I169" s="403"/>
      <c r="J169" s="390"/>
      <c r="K169" s="390"/>
      <c r="L169" s="416"/>
      <c r="M169" s="407"/>
      <c r="N169" s="408"/>
      <c r="O169" s="406"/>
      <c r="P169" s="406"/>
      <c r="Q169" s="406"/>
      <c r="R169" s="406"/>
      <c r="S169" s="406"/>
      <c r="T169" s="406"/>
      <c r="U169" s="409"/>
      <c r="V169" s="599"/>
      <c r="W169" s="599"/>
      <c r="X169" s="599"/>
      <c r="Y169" s="599"/>
      <c r="Z169" s="401"/>
      <c r="AA169" s="399"/>
      <c r="AB169" s="400" t="e">
        <f t="shared" si="40"/>
        <v>#DIV/0!</v>
      </c>
      <c r="AC169" s="397"/>
      <c r="AD169" s="398"/>
      <c r="AE169" s="399"/>
      <c r="AF169" s="400" t="e">
        <f t="shared" si="41"/>
        <v>#DIV/0!</v>
      </c>
      <c r="AG169" s="397"/>
    </row>
    <row r="170" spans="1:33" ht="19.899999999999999" hidden="1" customHeight="1">
      <c r="A170" s="506"/>
      <c r="B170" s="497"/>
      <c r="C170" s="497"/>
      <c r="D170" s="497"/>
      <c r="E170" s="498"/>
      <c r="F170" s="397"/>
      <c r="G170" s="403"/>
      <c r="H170" s="404"/>
      <c r="I170" s="403"/>
      <c r="J170" s="390"/>
      <c r="K170" s="390"/>
      <c r="L170" s="416"/>
      <c r="M170" s="407"/>
      <c r="N170" s="408"/>
      <c r="O170" s="406"/>
      <c r="P170" s="406"/>
      <c r="Q170" s="406"/>
      <c r="R170" s="406"/>
      <c r="S170" s="406"/>
      <c r="T170" s="406"/>
      <c r="U170" s="409"/>
      <c r="V170" s="599"/>
      <c r="W170" s="599"/>
      <c r="X170" s="599"/>
      <c r="Y170" s="599"/>
      <c r="Z170" s="401"/>
      <c r="AA170" s="399"/>
      <c r="AB170" s="400" t="e">
        <f t="shared" si="40"/>
        <v>#DIV/0!</v>
      </c>
      <c r="AC170" s="397"/>
      <c r="AD170" s="398"/>
      <c r="AE170" s="399"/>
      <c r="AF170" s="400" t="e">
        <f t="shared" si="41"/>
        <v>#DIV/0!</v>
      </c>
      <c r="AG170" s="397"/>
    </row>
    <row r="171" spans="1:33" ht="19.899999999999999" hidden="1" customHeight="1">
      <c r="A171" s="506"/>
      <c r="B171" s="497"/>
      <c r="C171" s="497"/>
      <c r="D171" s="497"/>
      <c r="E171" s="498"/>
      <c r="F171" s="397"/>
      <c r="G171" s="403"/>
      <c r="H171" s="404"/>
      <c r="I171" s="403"/>
      <c r="J171" s="390"/>
      <c r="K171" s="390"/>
      <c r="L171" s="416"/>
      <c r="M171" s="407"/>
      <c r="N171" s="408"/>
      <c r="O171" s="406"/>
      <c r="P171" s="406"/>
      <c r="Q171" s="406"/>
      <c r="R171" s="406"/>
      <c r="S171" s="406"/>
      <c r="T171" s="406"/>
      <c r="U171" s="409"/>
      <c r="V171" s="599"/>
      <c r="W171" s="599"/>
      <c r="X171" s="599"/>
      <c r="Y171" s="599"/>
      <c r="Z171" s="401"/>
      <c r="AA171" s="399"/>
      <c r="AB171" s="400" t="e">
        <f t="shared" si="40"/>
        <v>#DIV/0!</v>
      </c>
      <c r="AC171" s="397"/>
      <c r="AD171" s="398"/>
      <c r="AE171" s="399"/>
      <c r="AF171" s="400" t="e">
        <f t="shared" si="41"/>
        <v>#DIV/0!</v>
      </c>
      <c r="AG171" s="397"/>
    </row>
    <row r="172" spans="1:33" ht="19.899999999999999" hidden="1" customHeight="1">
      <c r="A172" s="506"/>
      <c r="B172" s="497"/>
      <c r="C172" s="497"/>
      <c r="D172" s="497"/>
      <c r="E172" s="498"/>
      <c r="F172" s="397"/>
      <c r="G172" s="403"/>
      <c r="H172" s="404"/>
      <c r="I172" s="403"/>
      <c r="J172" s="390"/>
      <c r="K172" s="390"/>
      <c r="L172" s="416"/>
      <c r="M172" s="407"/>
      <c r="N172" s="408"/>
      <c r="O172" s="406"/>
      <c r="P172" s="406"/>
      <c r="Q172" s="406"/>
      <c r="R172" s="406"/>
      <c r="S172" s="406"/>
      <c r="T172" s="406"/>
      <c r="U172" s="409"/>
      <c r="V172" s="599"/>
      <c r="W172" s="599"/>
      <c r="X172" s="599"/>
      <c r="Y172" s="599"/>
      <c r="Z172" s="401"/>
      <c r="AA172" s="399"/>
      <c r="AB172" s="400" t="e">
        <f t="shared" si="40"/>
        <v>#DIV/0!</v>
      </c>
      <c r="AC172" s="397"/>
      <c r="AD172" s="398"/>
      <c r="AE172" s="399"/>
      <c r="AF172" s="400" t="e">
        <f t="shared" si="41"/>
        <v>#DIV/0!</v>
      </c>
      <c r="AG172" s="397"/>
    </row>
    <row r="173" spans="1:33" ht="19.899999999999999" hidden="1" customHeight="1">
      <c r="A173" s="506"/>
      <c r="B173" s="497"/>
      <c r="C173" s="497"/>
      <c r="D173" s="497"/>
      <c r="E173" s="498"/>
      <c r="F173" s="397"/>
      <c r="G173" s="403"/>
      <c r="H173" s="404"/>
      <c r="I173" s="403"/>
      <c r="J173" s="390"/>
      <c r="K173" s="390"/>
      <c r="L173" s="416"/>
      <c r="M173" s="407"/>
      <c r="N173" s="408"/>
      <c r="O173" s="406"/>
      <c r="P173" s="406"/>
      <c r="Q173" s="406"/>
      <c r="R173" s="406"/>
      <c r="S173" s="406"/>
      <c r="T173" s="406"/>
      <c r="U173" s="409"/>
      <c r="V173" s="599"/>
      <c r="W173" s="599"/>
      <c r="X173" s="599"/>
      <c r="Y173" s="599"/>
      <c r="Z173" s="401"/>
      <c r="AA173" s="399"/>
      <c r="AB173" s="400" t="e">
        <f t="shared" si="40"/>
        <v>#DIV/0!</v>
      </c>
      <c r="AC173" s="397"/>
      <c r="AD173" s="398"/>
      <c r="AE173" s="399"/>
      <c r="AF173" s="400" t="e">
        <f t="shared" si="41"/>
        <v>#DIV/0!</v>
      </c>
      <c r="AG173" s="397"/>
    </row>
    <row r="174" spans="1:33" ht="19.899999999999999" hidden="1" customHeight="1">
      <c r="A174" s="506"/>
      <c r="B174" s="497"/>
      <c r="C174" s="497"/>
      <c r="D174" s="497"/>
      <c r="E174" s="498"/>
      <c r="F174" s="397"/>
      <c r="G174" s="403"/>
      <c r="H174" s="404"/>
      <c r="I174" s="403"/>
      <c r="J174" s="390"/>
      <c r="K174" s="390"/>
      <c r="L174" s="416"/>
      <c r="M174" s="407"/>
      <c r="N174" s="408"/>
      <c r="O174" s="406"/>
      <c r="P174" s="406"/>
      <c r="Q174" s="406"/>
      <c r="R174" s="406"/>
      <c r="S174" s="406"/>
      <c r="T174" s="406"/>
      <c r="U174" s="409"/>
      <c r="V174" s="599"/>
      <c r="W174" s="599"/>
      <c r="X174" s="599"/>
      <c r="Y174" s="599"/>
      <c r="Z174" s="401"/>
      <c r="AA174" s="399"/>
      <c r="AB174" s="400" t="e">
        <f t="shared" si="40"/>
        <v>#DIV/0!</v>
      </c>
      <c r="AC174" s="397"/>
      <c r="AD174" s="398"/>
      <c r="AE174" s="399"/>
      <c r="AF174" s="400" t="e">
        <f t="shared" si="41"/>
        <v>#DIV/0!</v>
      </c>
      <c r="AG174" s="397"/>
    </row>
    <row r="175" spans="1:33" ht="19.899999999999999" hidden="1" customHeight="1">
      <c r="A175" s="506"/>
      <c r="B175" s="497"/>
      <c r="C175" s="497"/>
      <c r="D175" s="497"/>
      <c r="E175" s="498"/>
      <c r="F175" s="397"/>
      <c r="G175" s="403"/>
      <c r="H175" s="404"/>
      <c r="I175" s="403"/>
      <c r="J175" s="390"/>
      <c r="K175" s="390"/>
      <c r="L175" s="416"/>
      <c r="M175" s="407"/>
      <c r="N175" s="408"/>
      <c r="O175" s="406"/>
      <c r="P175" s="406"/>
      <c r="Q175" s="406"/>
      <c r="R175" s="406"/>
      <c r="S175" s="406"/>
      <c r="T175" s="406"/>
      <c r="U175" s="409"/>
      <c r="V175" s="599"/>
      <c r="W175" s="599"/>
      <c r="X175" s="599"/>
      <c r="Y175" s="599"/>
      <c r="Z175" s="401"/>
      <c r="AA175" s="399"/>
      <c r="AB175" s="400" t="e">
        <f t="shared" si="40"/>
        <v>#DIV/0!</v>
      </c>
      <c r="AC175" s="397"/>
      <c r="AD175" s="398"/>
      <c r="AE175" s="399"/>
      <c r="AF175" s="400" t="e">
        <f t="shared" si="41"/>
        <v>#DIV/0!</v>
      </c>
      <c r="AG175" s="397"/>
    </row>
    <row r="176" spans="1:33" ht="19.899999999999999" hidden="1" customHeight="1">
      <c r="A176" s="506"/>
      <c r="B176" s="497"/>
      <c r="C176" s="497"/>
      <c r="D176" s="497"/>
      <c r="E176" s="498"/>
      <c r="F176" s="397"/>
      <c r="G176" s="403"/>
      <c r="H176" s="404"/>
      <c r="I176" s="403"/>
      <c r="J176" s="390"/>
      <c r="K176" s="390"/>
      <c r="L176" s="416"/>
      <c r="M176" s="407"/>
      <c r="N176" s="408"/>
      <c r="O176" s="406"/>
      <c r="P176" s="406"/>
      <c r="Q176" s="406"/>
      <c r="R176" s="406"/>
      <c r="S176" s="406"/>
      <c r="T176" s="406"/>
      <c r="U176" s="409"/>
      <c r="V176" s="599"/>
      <c r="W176" s="599"/>
      <c r="X176" s="599"/>
      <c r="Y176" s="599"/>
      <c r="Z176" s="401"/>
      <c r="AA176" s="399"/>
      <c r="AB176" s="400" t="e">
        <f t="shared" si="40"/>
        <v>#DIV/0!</v>
      </c>
      <c r="AC176" s="397"/>
      <c r="AD176" s="398"/>
      <c r="AE176" s="399"/>
      <c r="AF176" s="400" t="e">
        <f t="shared" si="41"/>
        <v>#DIV/0!</v>
      </c>
      <c r="AG176" s="397"/>
    </row>
    <row r="177" spans="1:33" ht="19.899999999999999" hidden="1" customHeight="1">
      <c r="A177" s="506"/>
      <c r="B177" s="497"/>
      <c r="C177" s="497"/>
      <c r="D177" s="497"/>
      <c r="E177" s="498"/>
      <c r="F177" s="397"/>
      <c r="G177" s="403"/>
      <c r="H177" s="404"/>
      <c r="I177" s="403"/>
      <c r="J177" s="390"/>
      <c r="K177" s="390"/>
      <c r="L177" s="416"/>
      <c r="M177" s="407"/>
      <c r="N177" s="408"/>
      <c r="O177" s="406"/>
      <c r="P177" s="406"/>
      <c r="Q177" s="406"/>
      <c r="R177" s="406"/>
      <c r="S177" s="406"/>
      <c r="T177" s="406"/>
      <c r="U177" s="409"/>
      <c r="V177" s="599"/>
      <c r="W177" s="599"/>
      <c r="X177" s="599"/>
      <c r="Y177" s="599"/>
      <c r="Z177" s="401"/>
      <c r="AA177" s="399"/>
      <c r="AB177" s="400" t="e">
        <f t="shared" si="40"/>
        <v>#DIV/0!</v>
      </c>
      <c r="AC177" s="397"/>
      <c r="AD177" s="398"/>
      <c r="AE177" s="399"/>
      <c r="AF177" s="400" t="e">
        <f t="shared" si="41"/>
        <v>#DIV/0!</v>
      </c>
      <c r="AG177" s="397"/>
    </row>
    <row r="178" spans="1:33" ht="19.899999999999999" hidden="1" customHeight="1">
      <c r="A178" s="506"/>
      <c r="B178" s="497"/>
      <c r="C178" s="497"/>
      <c r="D178" s="497"/>
      <c r="E178" s="498"/>
      <c r="F178" s="397"/>
      <c r="G178" s="403"/>
      <c r="H178" s="404"/>
      <c r="I178" s="403"/>
      <c r="J178" s="390"/>
      <c r="K178" s="390"/>
      <c r="L178" s="416"/>
      <c r="M178" s="407"/>
      <c r="N178" s="408"/>
      <c r="O178" s="406"/>
      <c r="P178" s="406"/>
      <c r="Q178" s="406"/>
      <c r="R178" s="406"/>
      <c r="S178" s="406"/>
      <c r="T178" s="406"/>
      <c r="U178" s="409"/>
      <c r="V178" s="599"/>
      <c r="W178" s="599"/>
      <c r="X178" s="599"/>
      <c r="Y178" s="599"/>
      <c r="Z178" s="401"/>
      <c r="AA178" s="399"/>
      <c r="AB178" s="400" t="e">
        <f t="shared" si="40"/>
        <v>#DIV/0!</v>
      </c>
      <c r="AC178" s="397"/>
      <c r="AD178" s="398"/>
      <c r="AE178" s="399"/>
      <c r="AF178" s="400" t="e">
        <f t="shared" si="41"/>
        <v>#DIV/0!</v>
      </c>
      <c r="AG178" s="397"/>
    </row>
    <row r="179" spans="1:33" ht="19.899999999999999" hidden="1" customHeight="1">
      <c r="A179" s="506"/>
      <c r="B179" s="497"/>
      <c r="C179" s="497"/>
      <c r="D179" s="497"/>
      <c r="E179" s="498"/>
      <c r="F179" s="397"/>
      <c r="G179" s="403"/>
      <c r="H179" s="404"/>
      <c r="I179" s="403"/>
      <c r="J179" s="390"/>
      <c r="K179" s="390"/>
      <c r="L179" s="416"/>
      <c r="M179" s="407"/>
      <c r="N179" s="408"/>
      <c r="O179" s="406"/>
      <c r="P179" s="406"/>
      <c r="Q179" s="406"/>
      <c r="R179" s="406"/>
      <c r="S179" s="406"/>
      <c r="T179" s="406"/>
      <c r="U179" s="409"/>
      <c r="V179" s="599"/>
      <c r="W179" s="599"/>
      <c r="X179" s="599"/>
      <c r="Y179" s="599"/>
      <c r="Z179" s="401"/>
      <c r="AA179" s="399"/>
      <c r="AB179" s="400" t="e">
        <f t="shared" si="40"/>
        <v>#DIV/0!</v>
      </c>
      <c r="AC179" s="397"/>
      <c r="AD179" s="398"/>
      <c r="AE179" s="399"/>
      <c r="AF179" s="400" t="e">
        <f t="shared" si="41"/>
        <v>#DIV/0!</v>
      </c>
      <c r="AG179" s="397"/>
    </row>
    <row r="180" spans="1:33" ht="19.899999999999999" hidden="1" customHeight="1">
      <c r="A180" s="506"/>
      <c r="B180" s="497"/>
      <c r="C180" s="497"/>
      <c r="D180" s="497"/>
      <c r="E180" s="498"/>
      <c r="F180" s="397"/>
      <c r="G180" s="403"/>
      <c r="H180" s="404"/>
      <c r="I180" s="403"/>
      <c r="J180" s="390"/>
      <c r="K180" s="390"/>
      <c r="L180" s="416"/>
      <c r="M180" s="407"/>
      <c r="N180" s="408"/>
      <c r="O180" s="406"/>
      <c r="P180" s="406"/>
      <c r="Q180" s="406"/>
      <c r="R180" s="406"/>
      <c r="S180" s="406"/>
      <c r="T180" s="406"/>
      <c r="U180" s="409"/>
      <c r="V180" s="599"/>
      <c r="W180" s="599"/>
      <c r="X180" s="599"/>
      <c r="Y180" s="599"/>
      <c r="Z180" s="401"/>
      <c r="AA180" s="399"/>
      <c r="AB180" s="400" t="e">
        <f t="shared" si="40"/>
        <v>#DIV/0!</v>
      </c>
      <c r="AC180" s="397"/>
      <c r="AD180" s="398"/>
      <c r="AE180" s="399"/>
      <c r="AF180" s="400" t="e">
        <f t="shared" si="41"/>
        <v>#DIV/0!</v>
      </c>
      <c r="AG180" s="397"/>
    </row>
    <row r="181" spans="1:33" ht="19.899999999999999" hidden="1" customHeight="1">
      <c r="A181" s="506"/>
      <c r="B181" s="497"/>
      <c r="C181" s="497"/>
      <c r="D181" s="497"/>
      <c r="E181" s="498"/>
      <c r="F181" s="397"/>
      <c r="G181" s="403"/>
      <c r="H181" s="404"/>
      <c r="I181" s="403"/>
      <c r="J181" s="390"/>
      <c r="K181" s="390"/>
      <c r="L181" s="416"/>
      <c r="M181" s="407"/>
      <c r="N181" s="408"/>
      <c r="O181" s="406"/>
      <c r="P181" s="406"/>
      <c r="Q181" s="406"/>
      <c r="R181" s="406"/>
      <c r="S181" s="406"/>
      <c r="T181" s="406"/>
      <c r="U181" s="409"/>
      <c r="V181" s="599"/>
      <c r="W181" s="599"/>
      <c r="X181" s="599"/>
      <c r="Y181" s="599"/>
      <c r="Z181" s="401"/>
      <c r="AA181" s="399"/>
      <c r="AB181" s="400" t="e">
        <f t="shared" si="40"/>
        <v>#DIV/0!</v>
      </c>
      <c r="AC181" s="397"/>
      <c r="AD181" s="398"/>
      <c r="AE181" s="399"/>
      <c r="AF181" s="400" t="e">
        <f t="shared" si="41"/>
        <v>#DIV/0!</v>
      </c>
      <c r="AG181" s="397"/>
    </row>
    <row r="182" spans="1:33" ht="19.899999999999999" hidden="1" customHeight="1">
      <c r="A182" s="506"/>
      <c r="B182" s="497"/>
      <c r="C182" s="497"/>
      <c r="D182" s="497"/>
      <c r="E182" s="498"/>
      <c r="F182" s="397"/>
      <c r="G182" s="403"/>
      <c r="H182" s="404"/>
      <c r="I182" s="403"/>
      <c r="J182" s="390"/>
      <c r="K182" s="390"/>
      <c r="L182" s="416"/>
      <c r="M182" s="407"/>
      <c r="N182" s="408"/>
      <c r="O182" s="406"/>
      <c r="P182" s="406"/>
      <c r="Q182" s="406"/>
      <c r="R182" s="406"/>
      <c r="S182" s="406"/>
      <c r="T182" s="406"/>
      <c r="U182" s="409"/>
      <c r="V182" s="599"/>
      <c r="W182" s="599"/>
      <c r="X182" s="599"/>
      <c r="Y182" s="599"/>
      <c r="Z182" s="401"/>
      <c r="AA182" s="399"/>
      <c r="AB182" s="400" t="e">
        <f t="shared" si="40"/>
        <v>#DIV/0!</v>
      </c>
      <c r="AC182" s="397"/>
      <c r="AD182" s="398"/>
      <c r="AE182" s="399"/>
      <c r="AF182" s="400" t="e">
        <f t="shared" si="41"/>
        <v>#DIV/0!</v>
      </c>
      <c r="AG182" s="397"/>
    </row>
    <row r="183" spans="1:33" ht="19.899999999999999" hidden="1" customHeight="1">
      <c r="A183" s="506"/>
      <c r="B183" s="497"/>
      <c r="C183" s="497"/>
      <c r="D183" s="497"/>
      <c r="E183" s="498"/>
      <c r="F183" s="397"/>
      <c r="G183" s="403"/>
      <c r="H183" s="404"/>
      <c r="I183" s="403"/>
      <c r="J183" s="390"/>
      <c r="K183" s="390"/>
      <c r="L183" s="416"/>
      <c r="M183" s="407"/>
      <c r="N183" s="408"/>
      <c r="O183" s="406"/>
      <c r="P183" s="406"/>
      <c r="Q183" s="406"/>
      <c r="R183" s="406"/>
      <c r="S183" s="406"/>
      <c r="T183" s="406"/>
      <c r="U183" s="409"/>
      <c r="V183" s="599"/>
      <c r="W183" s="599"/>
      <c r="X183" s="599"/>
      <c r="Y183" s="599"/>
      <c r="Z183" s="401"/>
      <c r="AA183" s="399"/>
      <c r="AB183" s="400" t="e">
        <f t="shared" si="40"/>
        <v>#DIV/0!</v>
      </c>
      <c r="AC183" s="397"/>
      <c r="AD183" s="398"/>
      <c r="AE183" s="399"/>
      <c r="AF183" s="400" t="e">
        <f t="shared" si="41"/>
        <v>#DIV/0!</v>
      </c>
      <c r="AG183" s="397"/>
    </row>
    <row r="184" spans="1:33" ht="19.899999999999999" hidden="1" customHeight="1">
      <c r="A184" s="506"/>
      <c r="B184" s="497"/>
      <c r="C184" s="497"/>
      <c r="D184" s="497"/>
      <c r="E184" s="498"/>
      <c r="F184" s="397"/>
      <c r="G184" s="403"/>
      <c r="H184" s="404"/>
      <c r="I184" s="403"/>
      <c r="J184" s="390"/>
      <c r="K184" s="390"/>
      <c r="L184" s="416"/>
      <c r="M184" s="407"/>
      <c r="N184" s="408"/>
      <c r="O184" s="406"/>
      <c r="P184" s="406"/>
      <c r="Q184" s="406"/>
      <c r="R184" s="406"/>
      <c r="S184" s="406"/>
      <c r="T184" s="406"/>
      <c r="U184" s="409"/>
      <c r="V184" s="599"/>
      <c r="W184" s="599"/>
      <c r="X184" s="599"/>
      <c r="Y184" s="599"/>
      <c r="Z184" s="401"/>
      <c r="AA184" s="399"/>
      <c r="AB184" s="400" t="e">
        <f t="shared" si="40"/>
        <v>#DIV/0!</v>
      </c>
      <c r="AC184" s="397"/>
      <c r="AD184" s="398"/>
      <c r="AE184" s="399"/>
      <c r="AF184" s="400" t="e">
        <f t="shared" si="41"/>
        <v>#DIV/0!</v>
      </c>
      <c r="AG184" s="397"/>
    </row>
    <row r="185" spans="1:33" ht="19.899999999999999" hidden="1" customHeight="1">
      <c r="A185" s="506"/>
      <c r="B185" s="497"/>
      <c r="C185" s="497"/>
      <c r="D185" s="497"/>
      <c r="E185" s="498"/>
      <c r="F185" s="397"/>
      <c r="G185" s="403"/>
      <c r="H185" s="404"/>
      <c r="I185" s="403"/>
      <c r="J185" s="390"/>
      <c r="K185" s="390"/>
      <c r="L185" s="416"/>
      <c r="M185" s="407"/>
      <c r="N185" s="408"/>
      <c r="O185" s="406"/>
      <c r="P185" s="406"/>
      <c r="Q185" s="406"/>
      <c r="R185" s="406"/>
      <c r="S185" s="406"/>
      <c r="T185" s="406"/>
      <c r="U185" s="409"/>
      <c r="V185" s="599"/>
      <c r="W185" s="599"/>
      <c r="X185" s="599"/>
      <c r="Y185" s="599"/>
      <c r="Z185" s="401"/>
      <c r="AA185" s="399"/>
      <c r="AB185" s="400" t="e">
        <f t="shared" si="40"/>
        <v>#DIV/0!</v>
      </c>
      <c r="AC185" s="397"/>
      <c r="AD185" s="398"/>
      <c r="AE185" s="399"/>
      <c r="AF185" s="400" t="e">
        <f t="shared" si="41"/>
        <v>#DIV/0!</v>
      </c>
      <c r="AG185" s="397"/>
    </row>
    <row r="186" spans="1:33" ht="19.899999999999999" hidden="1" customHeight="1">
      <c r="A186" s="506"/>
      <c r="B186" s="497"/>
      <c r="C186" s="497"/>
      <c r="D186" s="497"/>
      <c r="E186" s="498"/>
      <c r="F186" s="397"/>
      <c r="G186" s="403"/>
      <c r="H186" s="404"/>
      <c r="I186" s="403"/>
      <c r="J186" s="390"/>
      <c r="K186" s="390"/>
      <c r="L186" s="416"/>
      <c r="M186" s="407"/>
      <c r="N186" s="408"/>
      <c r="O186" s="406"/>
      <c r="P186" s="406"/>
      <c r="Q186" s="406"/>
      <c r="R186" s="406"/>
      <c r="S186" s="406"/>
      <c r="T186" s="406"/>
      <c r="U186" s="409"/>
      <c r="V186" s="599"/>
      <c r="W186" s="599"/>
      <c r="X186" s="599"/>
      <c r="Y186" s="599"/>
      <c r="Z186" s="401"/>
      <c r="AA186" s="399"/>
      <c r="AB186" s="400" t="e">
        <f t="shared" si="40"/>
        <v>#DIV/0!</v>
      </c>
      <c r="AC186" s="397"/>
      <c r="AD186" s="398"/>
      <c r="AE186" s="399"/>
      <c r="AF186" s="400" t="e">
        <f t="shared" si="41"/>
        <v>#DIV/0!</v>
      </c>
      <c r="AG186" s="397"/>
    </row>
    <row r="187" spans="1:33" ht="19.899999999999999" hidden="1" customHeight="1">
      <c r="A187" s="506"/>
      <c r="B187" s="497"/>
      <c r="C187" s="497"/>
      <c r="D187" s="497"/>
      <c r="E187" s="498"/>
      <c r="F187" s="397"/>
      <c r="G187" s="403"/>
      <c r="H187" s="404"/>
      <c r="I187" s="403"/>
      <c r="J187" s="390"/>
      <c r="K187" s="390"/>
      <c r="L187" s="416"/>
      <c r="M187" s="407"/>
      <c r="N187" s="408"/>
      <c r="O187" s="406"/>
      <c r="P187" s="406"/>
      <c r="Q187" s="406"/>
      <c r="R187" s="406"/>
      <c r="S187" s="406"/>
      <c r="T187" s="406"/>
      <c r="U187" s="409"/>
      <c r="V187" s="599"/>
      <c r="W187" s="599"/>
      <c r="X187" s="599"/>
      <c r="Y187" s="599"/>
      <c r="Z187" s="401"/>
      <c r="AA187" s="399"/>
      <c r="AB187" s="400" t="e">
        <f t="shared" si="40"/>
        <v>#DIV/0!</v>
      </c>
      <c r="AC187" s="397"/>
      <c r="AD187" s="398"/>
      <c r="AE187" s="399"/>
      <c r="AF187" s="400" t="e">
        <f t="shared" si="41"/>
        <v>#DIV/0!</v>
      </c>
      <c r="AG187" s="397"/>
    </row>
    <row r="188" spans="1:33" ht="19.899999999999999" hidden="1" customHeight="1">
      <c r="A188" s="506"/>
      <c r="B188" s="497"/>
      <c r="C188" s="497"/>
      <c r="D188" s="497"/>
      <c r="E188" s="498"/>
      <c r="F188" s="397"/>
      <c r="G188" s="403"/>
      <c r="H188" s="404"/>
      <c r="I188" s="403"/>
      <c r="J188" s="390"/>
      <c r="K188" s="390"/>
      <c r="L188" s="416"/>
      <c r="M188" s="407"/>
      <c r="N188" s="408"/>
      <c r="O188" s="406"/>
      <c r="P188" s="406"/>
      <c r="Q188" s="406"/>
      <c r="R188" s="406"/>
      <c r="S188" s="406"/>
      <c r="T188" s="406"/>
      <c r="U188" s="409"/>
      <c r="V188" s="599"/>
      <c r="W188" s="599"/>
      <c r="X188" s="599"/>
      <c r="Y188" s="599"/>
      <c r="Z188" s="401"/>
      <c r="AA188" s="399"/>
      <c r="AB188" s="400" t="e">
        <f t="shared" si="40"/>
        <v>#DIV/0!</v>
      </c>
      <c r="AC188" s="397"/>
      <c r="AD188" s="398"/>
      <c r="AE188" s="399"/>
      <c r="AF188" s="400" t="e">
        <f t="shared" si="41"/>
        <v>#DIV/0!</v>
      </c>
      <c r="AG188" s="397"/>
    </row>
    <row r="189" spans="1:33" ht="19.899999999999999" hidden="1" customHeight="1">
      <c r="A189" s="506"/>
      <c r="B189" s="497"/>
      <c r="C189" s="497"/>
      <c r="D189" s="497"/>
      <c r="E189" s="498"/>
      <c r="F189" s="397"/>
      <c r="G189" s="403"/>
      <c r="H189" s="404"/>
      <c r="I189" s="403"/>
      <c r="J189" s="390"/>
      <c r="K189" s="390"/>
      <c r="L189" s="416"/>
      <c r="M189" s="407"/>
      <c r="N189" s="408"/>
      <c r="O189" s="406"/>
      <c r="P189" s="406"/>
      <c r="Q189" s="406"/>
      <c r="R189" s="406"/>
      <c r="S189" s="406"/>
      <c r="T189" s="406"/>
      <c r="U189" s="409"/>
      <c r="V189" s="599"/>
      <c r="W189" s="599"/>
      <c r="X189" s="599"/>
      <c r="Y189" s="599"/>
      <c r="Z189" s="401"/>
      <c r="AA189" s="399"/>
      <c r="AB189" s="400" t="e">
        <f t="shared" si="40"/>
        <v>#DIV/0!</v>
      </c>
      <c r="AC189" s="397"/>
      <c r="AD189" s="398"/>
      <c r="AE189" s="399"/>
      <c r="AF189" s="400" t="e">
        <f t="shared" si="41"/>
        <v>#DIV/0!</v>
      </c>
      <c r="AG189" s="397"/>
    </row>
    <row r="190" spans="1:33" ht="19.899999999999999" hidden="1" customHeight="1">
      <c r="A190" s="506"/>
      <c r="B190" s="497"/>
      <c r="C190" s="497"/>
      <c r="D190" s="497"/>
      <c r="E190" s="498"/>
      <c r="F190" s="397"/>
      <c r="G190" s="403"/>
      <c r="H190" s="404"/>
      <c r="I190" s="403"/>
      <c r="J190" s="390"/>
      <c r="K190" s="390"/>
      <c r="L190" s="416"/>
      <c r="M190" s="407"/>
      <c r="N190" s="408"/>
      <c r="O190" s="406"/>
      <c r="P190" s="406"/>
      <c r="Q190" s="406"/>
      <c r="R190" s="406"/>
      <c r="S190" s="406"/>
      <c r="T190" s="406"/>
      <c r="U190" s="409"/>
      <c r="V190" s="599"/>
      <c r="W190" s="599"/>
      <c r="X190" s="599"/>
      <c r="Y190" s="599"/>
      <c r="Z190" s="401"/>
      <c r="AA190" s="399"/>
      <c r="AB190" s="400" t="e">
        <f t="shared" si="40"/>
        <v>#DIV/0!</v>
      </c>
      <c r="AC190" s="397"/>
      <c r="AD190" s="398"/>
      <c r="AE190" s="399"/>
      <c r="AF190" s="400" t="e">
        <f t="shared" si="41"/>
        <v>#DIV/0!</v>
      </c>
      <c r="AG190" s="397"/>
    </row>
    <row r="191" spans="1:33" ht="19.899999999999999" hidden="1" customHeight="1">
      <c r="A191" s="506"/>
      <c r="B191" s="497"/>
      <c r="C191" s="497"/>
      <c r="D191" s="497"/>
      <c r="E191" s="498"/>
      <c r="F191" s="397"/>
      <c r="G191" s="403"/>
      <c r="H191" s="404"/>
      <c r="I191" s="403"/>
      <c r="J191" s="390"/>
      <c r="K191" s="390"/>
      <c r="L191" s="416"/>
      <c r="M191" s="407"/>
      <c r="N191" s="408"/>
      <c r="O191" s="406"/>
      <c r="P191" s="406"/>
      <c r="Q191" s="406"/>
      <c r="R191" s="406"/>
      <c r="S191" s="406"/>
      <c r="T191" s="406"/>
      <c r="U191" s="409"/>
      <c r="V191" s="599"/>
      <c r="W191" s="599"/>
      <c r="X191" s="599"/>
      <c r="Y191" s="599"/>
      <c r="Z191" s="401"/>
      <c r="AA191" s="399"/>
      <c r="AB191" s="400" t="e">
        <f t="shared" si="40"/>
        <v>#DIV/0!</v>
      </c>
      <c r="AC191" s="397"/>
      <c r="AD191" s="398"/>
      <c r="AE191" s="399"/>
      <c r="AF191" s="400" t="e">
        <f t="shared" si="41"/>
        <v>#DIV/0!</v>
      </c>
      <c r="AG191" s="397"/>
    </row>
    <row r="192" spans="1:33" ht="19.899999999999999" hidden="1" customHeight="1">
      <c r="A192" s="506"/>
      <c r="B192" s="497"/>
      <c r="C192" s="497"/>
      <c r="D192" s="497"/>
      <c r="E192" s="498"/>
      <c r="F192" s="397"/>
      <c r="G192" s="403"/>
      <c r="H192" s="404"/>
      <c r="I192" s="403"/>
      <c r="J192" s="390"/>
      <c r="K192" s="390"/>
      <c r="L192" s="416"/>
      <c r="M192" s="407"/>
      <c r="N192" s="408"/>
      <c r="O192" s="406"/>
      <c r="P192" s="406"/>
      <c r="Q192" s="406"/>
      <c r="R192" s="406"/>
      <c r="S192" s="406"/>
      <c r="T192" s="406"/>
      <c r="U192" s="409"/>
      <c r="V192" s="599"/>
      <c r="W192" s="599"/>
      <c r="X192" s="599"/>
      <c r="Y192" s="599"/>
      <c r="Z192" s="401"/>
      <c r="AA192" s="399"/>
      <c r="AB192" s="400" t="e">
        <f t="shared" si="40"/>
        <v>#DIV/0!</v>
      </c>
      <c r="AC192" s="397"/>
      <c r="AD192" s="398"/>
      <c r="AE192" s="399"/>
      <c r="AF192" s="400" t="e">
        <f t="shared" si="41"/>
        <v>#DIV/0!</v>
      </c>
      <c r="AG192" s="397"/>
    </row>
    <row r="193" spans="1:33" ht="19.899999999999999" hidden="1" customHeight="1">
      <c r="A193" s="506"/>
      <c r="B193" s="497"/>
      <c r="C193" s="497"/>
      <c r="D193" s="497"/>
      <c r="E193" s="498"/>
      <c r="F193" s="397"/>
      <c r="G193" s="403"/>
      <c r="H193" s="404"/>
      <c r="I193" s="403"/>
      <c r="J193" s="390"/>
      <c r="K193" s="390"/>
      <c r="L193" s="416"/>
      <c r="M193" s="407"/>
      <c r="N193" s="408"/>
      <c r="O193" s="406"/>
      <c r="P193" s="406"/>
      <c r="Q193" s="406"/>
      <c r="R193" s="406"/>
      <c r="S193" s="406"/>
      <c r="T193" s="406"/>
      <c r="U193" s="409"/>
      <c r="V193" s="599"/>
      <c r="W193" s="599"/>
      <c r="X193" s="599"/>
      <c r="Y193" s="599"/>
      <c r="Z193" s="401"/>
      <c r="AA193" s="399"/>
      <c r="AB193" s="400" t="e">
        <f t="shared" si="40"/>
        <v>#DIV/0!</v>
      </c>
      <c r="AC193" s="397"/>
      <c r="AD193" s="398"/>
      <c r="AE193" s="399"/>
      <c r="AF193" s="400" t="e">
        <f t="shared" si="41"/>
        <v>#DIV/0!</v>
      </c>
      <c r="AG193" s="397"/>
    </row>
    <row r="194" spans="1:33" ht="19.899999999999999" hidden="1" customHeight="1">
      <c r="A194" s="506"/>
      <c r="B194" s="497"/>
      <c r="C194" s="497"/>
      <c r="D194" s="497"/>
      <c r="E194" s="498"/>
      <c r="F194" s="397"/>
      <c r="G194" s="403"/>
      <c r="H194" s="404"/>
      <c r="I194" s="403"/>
      <c r="J194" s="390"/>
      <c r="K194" s="390"/>
      <c r="L194" s="416"/>
      <c r="M194" s="407"/>
      <c r="N194" s="408"/>
      <c r="O194" s="406"/>
      <c r="P194" s="406"/>
      <c r="Q194" s="406"/>
      <c r="R194" s="406"/>
      <c r="S194" s="406"/>
      <c r="T194" s="406"/>
      <c r="U194" s="409"/>
      <c r="V194" s="599"/>
      <c r="W194" s="599"/>
      <c r="X194" s="599"/>
      <c r="Y194" s="599"/>
      <c r="Z194" s="401"/>
      <c r="AA194" s="399"/>
      <c r="AB194" s="400" t="e">
        <f t="shared" si="40"/>
        <v>#DIV/0!</v>
      </c>
      <c r="AC194" s="397"/>
      <c r="AD194" s="398"/>
      <c r="AE194" s="399"/>
      <c r="AF194" s="400" t="e">
        <f t="shared" si="41"/>
        <v>#DIV/0!</v>
      </c>
      <c r="AG194" s="397"/>
    </row>
    <row r="195" spans="1:33" ht="19.899999999999999" hidden="1" customHeight="1">
      <c r="A195" s="506"/>
      <c r="B195" s="497"/>
      <c r="C195" s="497"/>
      <c r="D195" s="497"/>
      <c r="E195" s="498"/>
      <c r="F195" s="397"/>
      <c r="G195" s="403"/>
      <c r="H195" s="404"/>
      <c r="I195" s="403"/>
      <c r="J195" s="390"/>
      <c r="K195" s="390"/>
      <c r="L195" s="416"/>
      <c r="M195" s="407"/>
      <c r="N195" s="408"/>
      <c r="O195" s="406"/>
      <c r="P195" s="406"/>
      <c r="Q195" s="406"/>
      <c r="R195" s="406"/>
      <c r="S195" s="406"/>
      <c r="T195" s="406"/>
      <c r="U195" s="409"/>
      <c r="V195" s="599"/>
      <c r="W195" s="599"/>
      <c r="X195" s="599"/>
      <c r="Y195" s="599"/>
      <c r="Z195" s="401"/>
      <c r="AA195" s="399"/>
      <c r="AB195" s="400" t="e">
        <f t="shared" si="40"/>
        <v>#DIV/0!</v>
      </c>
      <c r="AC195" s="397"/>
      <c r="AD195" s="398"/>
      <c r="AE195" s="399"/>
      <c r="AF195" s="400" t="e">
        <f t="shared" si="41"/>
        <v>#DIV/0!</v>
      </c>
      <c r="AG195" s="397"/>
    </row>
    <row r="196" spans="1:33" ht="19.899999999999999" hidden="1" customHeight="1">
      <c r="A196" s="506"/>
      <c r="B196" s="497"/>
      <c r="C196" s="497"/>
      <c r="D196" s="497"/>
      <c r="E196" s="498"/>
      <c r="F196" s="397"/>
      <c r="G196" s="403"/>
      <c r="H196" s="404"/>
      <c r="I196" s="403"/>
      <c r="J196" s="390"/>
      <c r="K196" s="390"/>
      <c r="L196" s="416"/>
      <c r="M196" s="407"/>
      <c r="N196" s="408"/>
      <c r="O196" s="406"/>
      <c r="P196" s="406"/>
      <c r="Q196" s="406"/>
      <c r="R196" s="406"/>
      <c r="S196" s="406"/>
      <c r="T196" s="406"/>
      <c r="U196" s="409"/>
      <c r="V196" s="599"/>
      <c r="W196" s="599"/>
      <c r="X196" s="599"/>
      <c r="Y196" s="599"/>
      <c r="Z196" s="401"/>
      <c r="AA196" s="399"/>
      <c r="AB196" s="400" t="e">
        <f t="shared" si="40"/>
        <v>#DIV/0!</v>
      </c>
      <c r="AC196" s="397"/>
      <c r="AD196" s="398"/>
      <c r="AE196" s="399"/>
      <c r="AF196" s="400" t="e">
        <f t="shared" si="41"/>
        <v>#DIV/0!</v>
      </c>
      <c r="AG196" s="397"/>
    </row>
    <row r="197" spans="1:33" ht="19.899999999999999" hidden="1" customHeight="1">
      <c r="A197" s="506"/>
      <c r="B197" s="497"/>
      <c r="C197" s="497"/>
      <c r="D197" s="497"/>
      <c r="E197" s="498"/>
      <c r="F197" s="397"/>
      <c r="G197" s="403"/>
      <c r="H197" s="404"/>
      <c r="I197" s="403"/>
      <c r="J197" s="390"/>
      <c r="K197" s="390"/>
      <c r="L197" s="416"/>
      <c r="M197" s="407"/>
      <c r="N197" s="408"/>
      <c r="O197" s="406"/>
      <c r="P197" s="406"/>
      <c r="Q197" s="406"/>
      <c r="R197" s="406"/>
      <c r="S197" s="406"/>
      <c r="T197" s="406"/>
      <c r="U197" s="409"/>
      <c r="V197" s="599"/>
      <c r="W197" s="599"/>
      <c r="X197" s="599"/>
      <c r="Y197" s="599"/>
      <c r="Z197" s="401"/>
      <c r="AA197" s="399"/>
      <c r="AB197" s="400" t="e">
        <f t="shared" si="40"/>
        <v>#DIV/0!</v>
      </c>
      <c r="AC197" s="397"/>
      <c r="AD197" s="398"/>
      <c r="AE197" s="399"/>
      <c r="AF197" s="400" t="e">
        <f t="shared" si="41"/>
        <v>#DIV/0!</v>
      </c>
      <c r="AG197" s="397"/>
    </row>
    <row r="198" spans="1:33" ht="19.899999999999999" hidden="1" customHeight="1">
      <c r="A198" s="506"/>
      <c r="B198" s="497"/>
      <c r="C198" s="497"/>
      <c r="D198" s="497"/>
      <c r="E198" s="498"/>
      <c r="F198" s="397"/>
      <c r="G198" s="403"/>
      <c r="H198" s="404"/>
      <c r="I198" s="403"/>
      <c r="J198" s="390"/>
      <c r="K198" s="390"/>
      <c r="L198" s="416"/>
      <c r="M198" s="407"/>
      <c r="N198" s="408"/>
      <c r="O198" s="406"/>
      <c r="P198" s="406"/>
      <c r="Q198" s="406"/>
      <c r="R198" s="406"/>
      <c r="S198" s="406"/>
      <c r="T198" s="406"/>
      <c r="U198" s="409"/>
      <c r="V198" s="599"/>
      <c r="W198" s="599"/>
      <c r="X198" s="599"/>
      <c r="Y198" s="599"/>
      <c r="Z198" s="401"/>
      <c r="AA198" s="399"/>
      <c r="AB198" s="400" t="e">
        <f t="shared" si="40"/>
        <v>#DIV/0!</v>
      </c>
      <c r="AC198" s="397"/>
      <c r="AD198" s="398"/>
      <c r="AE198" s="399"/>
      <c r="AF198" s="400" t="e">
        <f t="shared" si="41"/>
        <v>#DIV/0!</v>
      </c>
      <c r="AG198" s="397"/>
    </row>
    <row r="199" spans="1:33" ht="19.899999999999999" hidden="1" customHeight="1">
      <c r="A199" s="506"/>
      <c r="B199" s="497"/>
      <c r="C199" s="497"/>
      <c r="D199" s="497"/>
      <c r="E199" s="498"/>
      <c r="F199" s="397"/>
      <c r="G199" s="403"/>
      <c r="H199" s="404"/>
      <c r="I199" s="403"/>
      <c r="J199" s="390"/>
      <c r="K199" s="390"/>
      <c r="L199" s="416"/>
      <c r="M199" s="407"/>
      <c r="N199" s="408"/>
      <c r="O199" s="406"/>
      <c r="P199" s="406"/>
      <c r="Q199" s="406"/>
      <c r="R199" s="406"/>
      <c r="S199" s="406"/>
      <c r="T199" s="406"/>
      <c r="U199" s="409"/>
      <c r="V199" s="599"/>
      <c r="W199" s="599"/>
      <c r="X199" s="599"/>
      <c r="Y199" s="599"/>
      <c r="Z199" s="401"/>
      <c r="AA199" s="399"/>
      <c r="AB199" s="400" t="e">
        <f t="shared" si="40"/>
        <v>#DIV/0!</v>
      </c>
      <c r="AC199" s="397"/>
      <c r="AD199" s="398"/>
      <c r="AE199" s="399"/>
      <c r="AF199" s="400" t="e">
        <f t="shared" si="41"/>
        <v>#DIV/0!</v>
      </c>
      <c r="AG199" s="397"/>
    </row>
    <row r="200" spans="1:33" ht="19.899999999999999" hidden="1" customHeight="1">
      <c r="A200" s="506"/>
      <c r="B200" s="497"/>
      <c r="C200" s="497"/>
      <c r="D200" s="497"/>
      <c r="E200" s="498"/>
      <c r="F200" s="397"/>
      <c r="G200" s="403"/>
      <c r="H200" s="404"/>
      <c r="I200" s="403"/>
      <c r="J200" s="390"/>
      <c r="K200" s="390"/>
      <c r="L200" s="416"/>
      <c r="M200" s="407"/>
      <c r="N200" s="408"/>
      <c r="O200" s="406"/>
      <c r="P200" s="406"/>
      <c r="Q200" s="406"/>
      <c r="R200" s="406"/>
      <c r="S200" s="406"/>
      <c r="T200" s="406"/>
      <c r="U200" s="409"/>
      <c r="V200" s="600"/>
      <c r="W200" s="600"/>
      <c r="X200" s="600"/>
      <c r="Y200" s="600"/>
      <c r="Z200" s="532"/>
      <c r="AA200" s="533"/>
      <c r="AB200" s="534" t="e">
        <f t="shared" si="40"/>
        <v>#DIV/0!</v>
      </c>
      <c r="AC200" s="535"/>
      <c r="AD200" s="536"/>
      <c r="AE200" s="533"/>
      <c r="AF200" s="534" t="e">
        <f t="shared" si="41"/>
        <v>#DIV/0!</v>
      </c>
      <c r="AG200" s="535"/>
    </row>
    <row r="201" spans="1:33" ht="19.899999999999999" hidden="1" customHeight="1">
      <c r="B201" s="417"/>
      <c r="C201" s="417"/>
      <c r="D201" s="417"/>
      <c r="E201" s="418"/>
      <c r="F201" s="419"/>
      <c r="G201" s="419"/>
      <c r="H201" s="420"/>
      <c r="I201" s="419"/>
      <c r="J201" s="421"/>
      <c r="K201" s="421"/>
      <c r="L201" s="421"/>
      <c r="M201" s="422"/>
      <c r="N201" s="423"/>
      <c r="O201" s="422"/>
      <c r="P201" s="422"/>
      <c r="Q201" s="422"/>
      <c r="R201" s="422"/>
      <c r="S201" s="422"/>
      <c r="T201" s="422"/>
      <c r="U201" s="422"/>
      <c r="V201" s="422"/>
      <c r="W201" s="422"/>
      <c r="X201" s="422"/>
      <c r="Y201" s="422"/>
      <c r="Z201" s="422"/>
      <c r="AA201" s="424"/>
      <c r="AB201" s="425"/>
      <c r="AC201" s="419"/>
      <c r="AD201" s="423"/>
      <c r="AE201" s="424"/>
      <c r="AF201" s="425"/>
      <c r="AG201" s="419"/>
    </row>
    <row r="202" spans="1:33" ht="19.899999999999999" hidden="1" customHeight="1">
      <c r="B202" s="417"/>
      <c r="C202" s="417"/>
      <c r="D202" s="417"/>
      <c r="E202" s="418"/>
      <c r="F202" s="419"/>
      <c r="G202" s="419"/>
      <c r="H202" s="420"/>
      <c r="I202" s="419"/>
      <c r="J202" s="421"/>
      <c r="K202" s="421"/>
      <c r="L202" s="421"/>
      <c r="M202" s="422"/>
      <c r="N202" s="423"/>
      <c r="O202" s="422"/>
      <c r="P202" s="422"/>
      <c r="Q202" s="422"/>
      <c r="R202" s="422"/>
      <c r="S202" s="422"/>
      <c r="T202" s="422"/>
      <c r="U202" s="422"/>
      <c r="V202" s="422"/>
      <c r="W202" s="422"/>
      <c r="X202" s="422"/>
      <c r="Y202" s="422"/>
      <c r="Z202" s="422"/>
      <c r="AA202" s="424"/>
      <c r="AB202" s="425"/>
      <c r="AC202" s="419"/>
      <c r="AD202" s="423"/>
      <c r="AE202" s="424"/>
      <c r="AF202" s="425"/>
      <c r="AG202" s="419"/>
    </row>
    <row r="203" spans="1:33" ht="19.899999999999999" hidden="1" customHeight="1">
      <c r="B203" s="417"/>
      <c r="C203" s="417"/>
      <c r="D203" s="417"/>
      <c r="E203" s="418"/>
      <c r="F203" s="419"/>
      <c r="G203" s="419"/>
      <c r="H203" s="420"/>
      <c r="I203" s="419"/>
      <c r="J203" s="421"/>
      <c r="K203" s="421"/>
      <c r="L203" s="421"/>
      <c r="M203" s="422"/>
      <c r="N203" s="423"/>
      <c r="O203" s="422"/>
      <c r="P203" s="422"/>
      <c r="Q203" s="422"/>
      <c r="R203" s="422"/>
      <c r="S203" s="422"/>
      <c r="T203" s="422"/>
      <c r="U203" s="422"/>
      <c r="V203" s="422"/>
      <c r="W203" s="422"/>
      <c r="X203" s="422"/>
      <c r="Y203" s="422"/>
      <c r="Z203" s="422"/>
      <c r="AA203" s="424"/>
      <c r="AB203" s="425"/>
      <c r="AC203" s="419"/>
      <c r="AD203" s="423"/>
      <c r="AE203" s="424"/>
      <c r="AF203" s="425"/>
      <c r="AG203" s="419"/>
    </row>
    <row r="204" spans="1:33" ht="19.899999999999999" hidden="1" customHeight="1">
      <c r="B204" s="417"/>
      <c r="C204" s="417"/>
      <c r="D204" s="417"/>
      <c r="E204" s="418"/>
      <c r="F204" s="419"/>
      <c r="G204" s="419"/>
      <c r="H204" s="420"/>
      <c r="I204" s="419"/>
      <c r="J204" s="421"/>
      <c r="K204" s="421"/>
      <c r="L204" s="421"/>
      <c r="M204" s="422"/>
      <c r="N204" s="423"/>
      <c r="O204" s="422"/>
      <c r="P204" s="422"/>
      <c r="Q204" s="422"/>
      <c r="R204" s="422"/>
      <c r="S204" s="422"/>
      <c r="T204" s="422"/>
      <c r="U204" s="422"/>
      <c r="V204" s="422"/>
      <c r="W204" s="422"/>
      <c r="X204" s="422"/>
      <c r="Y204" s="422"/>
      <c r="Z204" s="422"/>
      <c r="AA204" s="424"/>
      <c r="AB204" s="425"/>
      <c r="AC204" s="419"/>
      <c r="AD204" s="423"/>
      <c r="AE204" s="424"/>
      <c r="AF204" s="425"/>
      <c r="AG204" s="419"/>
    </row>
    <row r="205" spans="1:33" hidden="1"/>
    <row r="206" spans="1:33" hidden="1"/>
    <row r="207" spans="1:33" hidden="1"/>
    <row r="208" spans="1:33" hidden="1"/>
    <row r="209" spans="10:12" hidden="1"/>
    <row r="210" spans="10:12" hidden="1"/>
    <row r="211" spans="10:12" hidden="1"/>
    <row r="212" spans="10:12" ht="15" hidden="1">
      <c r="J212" s="382" t="s">
        <v>364</v>
      </c>
      <c r="L212" s="385" t="s">
        <v>350</v>
      </c>
    </row>
    <row r="213" spans="10:12" ht="15" hidden="1">
      <c r="L213" s="386"/>
    </row>
    <row r="214" spans="10:12" ht="15" hidden="1">
      <c r="J214" s="382" t="s">
        <v>365</v>
      </c>
      <c r="L214" s="530" t="s">
        <v>134</v>
      </c>
    </row>
    <row r="215" spans="10:12" ht="15" hidden="1">
      <c r="J215" s="382" t="s">
        <v>366</v>
      </c>
      <c r="L215" s="530" t="s">
        <v>378</v>
      </c>
    </row>
    <row r="216" spans="10:12" ht="15" hidden="1">
      <c r="J216" s="382" t="s">
        <v>367</v>
      </c>
      <c r="L216" s="530" t="s">
        <v>205</v>
      </c>
    </row>
    <row r="217" spans="10:12" ht="15" hidden="1">
      <c r="J217" s="382" t="s">
        <v>368</v>
      </c>
      <c r="L217" s="530" t="s">
        <v>362</v>
      </c>
    </row>
    <row r="218" spans="10:12" ht="15" hidden="1">
      <c r="J218" s="382" t="s">
        <v>369</v>
      </c>
      <c r="L218" s="530" t="s">
        <v>379</v>
      </c>
    </row>
    <row r="219" spans="10:12" ht="15" hidden="1">
      <c r="J219" s="382" t="s">
        <v>229</v>
      </c>
      <c r="L219" s="530" t="s">
        <v>380</v>
      </c>
    </row>
    <row r="220" spans="10:12" ht="15" hidden="1">
      <c r="J220" s="382" t="s">
        <v>230</v>
      </c>
      <c r="L220" s="530" t="s">
        <v>351</v>
      </c>
    </row>
    <row r="221" spans="10:12" ht="15" hidden="1">
      <c r="J221" s="382" t="s">
        <v>231</v>
      </c>
      <c r="L221" s="530" t="s">
        <v>352</v>
      </c>
    </row>
    <row r="222" spans="10:12" ht="15" hidden="1">
      <c r="J222" s="382" t="s">
        <v>370</v>
      </c>
      <c r="L222" s="530" t="s">
        <v>432</v>
      </c>
    </row>
    <row r="223" spans="10:12" ht="15" hidden="1">
      <c r="J223" s="382" t="s">
        <v>363</v>
      </c>
      <c r="L223" s="530" t="s">
        <v>435</v>
      </c>
    </row>
    <row r="224" spans="10:12" ht="15" hidden="1">
      <c r="L224" s="530" t="s">
        <v>436</v>
      </c>
    </row>
    <row r="225" spans="11:12" ht="15" hidden="1">
      <c r="L225" s="530" t="s">
        <v>437</v>
      </c>
    </row>
    <row r="226" spans="11:12" ht="15" hidden="1">
      <c r="L226" s="530" t="s">
        <v>440</v>
      </c>
    </row>
    <row r="227" spans="11:12" ht="15" hidden="1">
      <c r="L227" s="530" t="s">
        <v>354</v>
      </c>
    </row>
    <row r="228" spans="11:12" ht="15" hidden="1">
      <c r="L228" s="530" t="s">
        <v>441</v>
      </c>
    </row>
    <row r="229" spans="11:12" ht="15" hidden="1">
      <c r="L229" s="530" t="s">
        <v>173</v>
      </c>
    </row>
    <row r="230" spans="11:12" ht="15" hidden="1">
      <c r="L230" s="530" t="s">
        <v>100</v>
      </c>
    </row>
    <row r="231" spans="11:12" ht="15" hidden="1">
      <c r="L231" s="530" t="s">
        <v>462</v>
      </c>
    </row>
    <row r="232" spans="11:12" ht="15" hidden="1">
      <c r="K232" s="387"/>
      <c r="L232" s="530" t="s">
        <v>188</v>
      </c>
    </row>
    <row r="233" spans="11:12" ht="15" hidden="1">
      <c r="L233" s="530" t="s">
        <v>463</v>
      </c>
    </row>
    <row r="234" spans="11:12" ht="15" hidden="1">
      <c r="L234" s="530" t="s">
        <v>464</v>
      </c>
    </row>
    <row r="235" spans="11:12" ht="15" hidden="1">
      <c r="L235" s="530" t="s">
        <v>469</v>
      </c>
    </row>
    <row r="236" spans="11:12" ht="15" hidden="1">
      <c r="L236" s="530" t="s">
        <v>472</v>
      </c>
    </row>
    <row r="237" spans="11:12" ht="15" hidden="1">
      <c r="L237" s="530" t="s">
        <v>473</v>
      </c>
    </row>
    <row r="238" spans="11:12" ht="15" hidden="1">
      <c r="L238" s="530" t="s">
        <v>190</v>
      </c>
    </row>
    <row r="239" spans="11:12" ht="15" hidden="1">
      <c r="L239" s="530" t="s">
        <v>74</v>
      </c>
    </row>
    <row r="240" spans="11:12" ht="15" hidden="1">
      <c r="L240" s="530" t="s">
        <v>436</v>
      </c>
    </row>
    <row r="241" spans="11:14" ht="15" hidden="1">
      <c r="K241" s="387"/>
      <c r="L241" s="530" t="s">
        <v>700</v>
      </c>
    </row>
    <row r="242" spans="11:14" ht="15" hidden="1">
      <c r="L242" s="530" t="s">
        <v>202</v>
      </c>
    </row>
    <row r="243" spans="11:14" ht="15" hidden="1">
      <c r="L243" s="530" t="s">
        <v>509</v>
      </c>
    </row>
    <row r="244" spans="11:14" ht="15" hidden="1">
      <c r="L244" s="530" t="s">
        <v>591</v>
      </c>
    </row>
    <row r="245" spans="11:14" ht="15" hidden="1">
      <c r="L245" s="530" t="s">
        <v>594</v>
      </c>
    </row>
    <row r="246" spans="11:14" ht="15" hidden="1">
      <c r="L246" s="530" t="s">
        <v>596</v>
      </c>
    </row>
    <row r="247" spans="11:14" ht="15" hidden="1">
      <c r="L247" s="530" t="s">
        <v>602</v>
      </c>
    </row>
    <row r="248" spans="11:14" ht="15" hidden="1">
      <c r="L248" s="530" t="s">
        <v>606</v>
      </c>
      <c r="N248" s="530"/>
    </row>
    <row r="249" spans="11:14" ht="15" hidden="1">
      <c r="L249" s="530" t="s">
        <v>353</v>
      </c>
    </row>
    <row r="250" spans="11:14" ht="15" hidden="1">
      <c r="L250" s="530" t="s">
        <v>355</v>
      </c>
    </row>
    <row r="251" spans="11:14" ht="15" hidden="1">
      <c r="L251" s="530" t="s">
        <v>356</v>
      </c>
    </row>
    <row r="252" spans="11:14" ht="15" hidden="1">
      <c r="L252" s="530" t="s">
        <v>357</v>
      </c>
    </row>
    <row r="253" spans="11:14" ht="15" hidden="1">
      <c r="L253" s="530" t="s">
        <v>192</v>
      </c>
    </row>
    <row r="254" spans="11:14" ht="15" hidden="1">
      <c r="L254" s="530" t="s">
        <v>358</v>
      </c>
    </row>
    <row r="255" spans="11:14" ht="15" hidden="1">
      <c r="L255" s="530" t="s">
        <v>359</v>
      </c>
    </row>
    <row r="256" spans="11:14" ht="15" hidden="1">
      <c r="L256" s="530" t="s">
        <v>348</v>
      </c>
    </row>
    <row r="257" spans="12:12" ht="15" hidden="1">
      <c r="L257" s="530" t="s">
        <v>360</v>
      </c>
    </row>
    <row r="258" spans="12:12" ht="15" hidden="1">
      <c r="L258" s="530" t="s">
        <v>361</v>
      </c>
    </row>
    <row r="259" spans="12:12" ht="15" hidden="1">
      <c r="L259" s="530" t="s">
        <v>357</v>
      </c>
    </row>
    <row r="260" spans="12:12" ht="15" hidden="1">
      <c r="L260" s="530" t="s">
        <v>363</v>
      </c>
    </row>
    <row r="261" spans="12:12" hidden="1"/>
    <row r="262" spans="12:12" hidden="1"/>
  </sheetData>
  <sheetProtection password="E86C" sheet="1" objects="1" scenarios="1"/>
  <mergeCells count="30">
    <mergeCell ref="A7:A9"/>
    <mergeCell ref="B7:B9"/>
    <mergeCell ref="C7:C9"/>
    <mergeCell ref="D7:D9"/>
    <mergeCell ref="E7:E9"/>
    <mergeCell ref="AI7:AK8"/>
    <mergeCell ref="W8:W9"/>
    <mergeCell ref="X8:X9"/>
    <mergeCell ref="Y8:Y9"/>
    <mergeCell ref="Z8:Z9"/>
    <mergeCell ref="AA8:AA9"/>
    <mergeCell ref="AB8:AB9"/>
    <mergeCell ref="AC8:AC9"/>
    <mergeCell ref="AD8:AD9"/>
    <mergeCell ref="W7:Y7"/>
    <mergeCell ref="Z7:AC7"/>
    <mergeCell ref="B5:AB5"/>
    <mergeCell ref="AE8:AE9"/>
    <mergeCell ref="AF8:AF9"/>
    <mergeCell ref="AG8:AG9"/>
    <mergeCell ref="AD7:AG7"/>
    <mergeCell ref="K7:K9"/>
    <mergeCell ref="L7:L9"/>
    <mergeCell ref="M7:M9"/>
    <mergeCell ref="F7:F9"/>
    <mergeCell ref="H7:H9"/>
    <mergeCell ref="I7:I9"/>
    <mergeCell ref="J7:J9"/>
    <mergeCell ref="V7:V9"/>
    <mergeCell ref="N7:U8"/>
  </mergeCells>
  <dataValidations count="3">
    <dataValidation type="list" allowBlank="1" showInputMessage="1" showErrorMessage="1" sqref="L10:L75 L77:L204" xr:uid="{00000000-0002-0000-0B00-000000000000}">
      <formula1>$L$214:$L$259</formula1>
    </dataValidation>
    <dataValidation type="list" allowBlank="1" showInputMessage="1" showErrorMessage="1" sqref="K10:K204" xr:uid="{00000000-0002-0000-0B00-000001000000}">
      <formula1>$J$219:$J$223</formula1>
    </dataValidation>
    <dataValidation type="list" allowBlank="1" showInputMessage="1" showErrorMessage="1" sqref="J10:J204" xr:uid="{00000000-0002-0000-0B00-000002000000}">
      <formula1>$J$214:$J$218</formula1>
    </dataValidation>
  </dataValidations>
  <pageMargins left="0" right="0" top="0" bottom="0" header="0.3" footer="0.3"/>
  <pageSetup paperSize="9" scale="7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00CC"/>
  </sheetPr>
  <dimension ref="A1:AO260"/>
  <sheetViews>
    <sheetView view="pageBreakPreview" zoomScale="70" zoomScaleNormal="70" zoomScaleSheetLayoutView="70" workbookViewId="0">
      <pane xSplit="5" ySplit="9" topLeftCell="L48" activePane="bottomRight" state="frozen"/>
      <selection pane="topRight" activeCell="D1" sqref="D1"/>
      <selection pane="bottomLeft" activeCell="A10" sqref="A10"/>
      <selection pane="bottomRight" activeCell="V71" sqref="V71"/>
    </sheetView>
  </sheetViews>
  <sheetFormatPr defaultColWidth="8.85546875" defaultRowHeight="12.75"/>
  <cols>
    <col min="1" max="1" width="5.5703125" style="382" customWidth="1"/>
    <col min="2" max="2" width="10.42578125" style="382" customWidth="1"/>
    <col min="3" max="3" width="6.85546875" style="382" customWidth="1"/>
    <col min="4" max="4" width="6.28515625" style="382" hidden="1" customWidth="1"/>
    <col min="5" max="5" width="57.28515625" style="382" customWidth="1"/>
    <col min="6" max="6" width="17.42578125" style="382" hidden="1" customWidth="1"/>
    <col min="7" max="7" width="13" style="382" hidden="1" customWidth="1"/>
    <col min="8" max="8" width="12" style="405" hidden="1" customWidth="1"/>
    <col min="9" max="9" width="11.42578125" style="382" hidden="1" customWidth="1"/>
    <col min="10" max="10" width="7.5703125" style="382" hidden="1" customWidth="1"/>
    <col min="11" max="11" width="11.140625" style="382" hidden="1" customWidth="1"/>
    <col min="12" max="12" width="11.5703125" style="382" customWidth="1"/>
    <col min="13" max="13" width="8" style="382" customWidth="1"/>
    <col min="14" max="14" width="9.5703125" style="382" customWidth="1"/>
    <col min="15" max="16" width="10.140625" style="382" hidden="1" customWidth="1"/>
    <col min="17" max="17" width="9.5703125" style="382" customWidth="1"/>
    <col min="18" max="18" width="10.140625" style="382" hidden="1" customWidth="1"/>
    <col min="19" max="21" width="8.7109375" style="382" hidden="1" customWidth="1"/>
    <col min="22" max="22" width="10.28515625" style="382" customWidth="1"/>
    <col min="23" max="24" width="10.7109375" style="382" hidden="1" customWidth="1"/>
    <col min="25" max="25" width="11.7109375" style="382" hidden="1" customWidth="1"/>
    <col min="26" max="27" width="10.7109375" style="382" hidden="1" customWidth="1"/>
    <col min="28" max="28" width="12.5703125" style="382" customWidth="1"/>
    <col min="29" max="29" width="52.85546875" style="382" customWidth="1"/>
    <col min="30" max="30" width="12" style="382" hidden="1" customWidth="1"/>
    <col min="31" max="31" width="13.85546875" style="382" customWidth="1"/>
    <col min="32" max="33" width="10.7109375" style="382" hidden="1" customWidth="1"/>
    <col min="34" max="34" width="11.7109375" style="382" hidden="1" customWidth="1"/>
    <col min="35" max="35" width="13.7109375" style="382" hidden="1" customWidth="1"/>
    <col min="36" max="36" width="1" style="382" hidden="1" customWidth="1"/>
    <col min="37" max="39" width="13.7109375" style="382" hidden="1" customWidth="1"/>
    <col min="40" max="16384" width="8.85546875" style="382"/>
  </cols>
  <sheetData>
    <row r="1" spans="1:39" ht="15" customHeight="1">
      <c r="A1" s="494"/>
      <c r="B1" s="494"/>
      <c r="C1" s="494"/>
      <c r="D1" s="494"/>
      <c r="E1" s="494"/>
      <c r="F1" s="494"/>
      <c r="G1" s="494"/>
      <c r="H1" s="495"/>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row>
    <row r="2" spans="1:39" ht="15" customHeight="1">
      <c r="A2" s="494"/>
      <c r="B2" s="494"/>
      <c r="C2" s="494"/>
      <c r="D2" s="494"/>
      <c r="E2" s="494"/>
      <c r="F2" s="494"/>
      <c r="G2" s="494"/>
      <c r="H2" s="495"/>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row>
    <row r="3" spans="1:39" ht="15" customHeight="1">
      <c r="A3" s="494"/>
      <c r="B3" s="494"/>
      <c r="C3" s="494"/>
      <c r="D3" s="494"/>
      <c r="E3" s="494"/>
      <c r="F3" s="494"/>
      <c r="G3" s="494"/>
      <c r="H3" s="495"/>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row>
    <row r="4" spans="1:39" ht="15" customHeight="1">
      <c r="A4" s="494"/>
      <c r="B4" s="494"/>
      <c r="C4" s="494"/>
      <c r="D4" s="494"/>
      <c r="E4" s="494"/>
      <c r="F4" s="494"/>
      <c r="G4" s="494"/>
      <c r="H4" s="495"/>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row>
    <row r="5" spans="1:39" ht="22.9" customHeight="1">
      <c r="A5" s="494"/>
      <c r="B5" s="1564" t="s">
        <v>816</v>
      </c>
      <c r="C5" s="1564"/>
      <c r="D5" s="1564"/>
      <c r="E5" s="1564"/>
      <c r="F5" s="1564"/>
      <c r="G5" s="1564"/>
      <c r="H5" s="1564"/>
      <c r="I5" s="1564"/>
      <c r="J5" s="1564"/>
      <c r="K5" s="1564"/>
      <c r="L5" s="1564"/>
      <c r="M5" s="1564"/>
      <c r="N5" s="1564"/>
      <c r="O5" s="1564"/>
      <c r="P5" s="1564"/>
      <c r="Q5" s="1564"/>
      <c r="R5" s="1564"/>
      <c r="S5" s="1564"/>
      <c r="T5" s="1564"/>
      <c r="U5" s="1564"/>
      <c r="V5" s="1564"/>
      <c r="W5" s="1564"/>
      <c r="X5" s="1564"/>
      <c r="Y5" s="1564"/>
      <c r="Z5" s="1564"/>
      <c r="AA5" s="1564"/>
      <c r="AB5" s="1564"/>
      <c r="AC5" s="621"/>
      <c r="AD5" s="621"/>
      <c r="AE5" s="621"/>
      <c r="AF5" s="621"/>
      <c r="AG5" s="621"/>
      <c r="AH5" s="621"/>
      <c r="AI5" s="621"/>
    </row>
    <row r="6" spans="1:39" ht="2.4500000000000002" customHeight="1" thickBot="1">
      <c r="B6" s="383"/>
      <c r="C6" s="383"/>
      <c r="D6" s="383"/>
      <c r="E6" s="383"/>
      <c r="F6" s="383"/>
      <c r="G6" s="383"/>
      <c r="H6" s="383"/>
      <c r="I6" s="383"/>
      <c r="J6" s="383"/>
      <c r="K6" s="383"/>
      <c r="L6" s="383"/>
      <c r="M6" s="383"/>
      <c r="N6" s="384"/>
      <c r="O6" s="384"/>
      <c r="P6" s="384"/>
      <c r="Q6" s="384"/>
      <c r="R6" s="384"/>
      <c r="S6" s="384"/>
      <c r="T6" s="384"/>
      <c r="U6" s="384"/>
      <c r="V6" s="384"/>
      <c r="W6" s="384"/>
      <c r="X6" s="384"/>
      <c r="Y6" s="384"/>
      <c r="Z6" s="383"/>
      <c r="AA6" s="383"/>
      <c r="AB6" s="383"/>
      <c r="AC6" s="383"/>
      <c r="AD6" s="383"/>
      <c r="AE6" s="383"/>
      <c r="AF6" s="384"/>
      <c r="AG6" s="383"/>
      <c r="AH6" s="383"/>
      <c r="AI6" s="383"/>
    </row>
    <row r="7" spans="1:39" ht="14.45" customHeight="1">
      <c r="A7" s="1553" t="s">
        <v>671</v>
      </c>
      <c r="B7" s="1553" t="s">
        <v>458</v>
      </c>
      <c r="C7" s="1553" t="s">
        <v>670</v>
      </c>
      <c r="D7" s="1553" t="s">
        <v>375</v>
      </c>
      <c r="E7" s="1556" t="s">
        <v>516</v>
      </c>
      <c r="F7" s="1556" t="s">
        <v>347</v>
      </c>
      <c r="G7" s="1105"/>
      <c r="H7" s="1556" t="s">
        <v>457</v>
      </c>
      <c r="I7" s="1556" t="s">
        <v>456</v>
      </c>
      <c r="J7" s="1556" t="s">
        <v>426</v>
      </c>
      <c r="K7" s="1556" t="s">
        <v>371</v>
      </c>
      <c r="L7" s="1837" t="s">
        <v>348</v>
      </c>
      <c r="M7" s="1838" t="s">
        <v>374</v>
      </c>
      <c r="N7" s="1840" t="s">
        <v>277</v>
      </c>
      <c r="O7" s="1841"/>
      <c r="P7" s="1841"/>
      <c r="Q7" s="1841"/>
      <c r="R7" s="1841"/>
      <c r="S7" s="1841"/>
      <c r="T7" s="1841"/>
      <c r="U7" s="1842"/>
      <c r="V7" s="1839" t="s">
        <v>693</v>
      </c>
      <c r="W7" s="1572" t="s">
        <v>658</v>
      </c>
      <c r="X7" s="1573"/>
      <c r="Y7" s="1574"/>
      <c r="Z7" s="1855" t="s">
        <v>815</v>
      </c>
      <c r="AA7" s="1856"/>
      <c r="AB7" s="1856"/>
      <c r="AC7" s="1857"/>
      <c r="AD7" s="1849" t="s">
        <v>822</v>
      </c>
      <c r="AE7" s="1850"/>
      <c r="AF7" s="1846" t="s">
        <v>695</v>
      </c>
      <c r="AG7" s="1847"/>
      <c r="AH7" s="1847"/>
      <c r="AI7" s="1848"/>
      <c r="AK7" s="1547" t="s">
        <v>690</v>
      </c>
      <c r="AL7" s="1548"/>
      <c r="AM7" s="1549"/>
    </row>
    <row r="8" spans="1:39" ht="44.25" customHeight="1">
      <c r="A8" s="1554"/>
      <c r="B8" s="1554"/>
      <c r="C8" s="1554"/>
      <c r="D8" s="1554"/>
      <c r="E8" s="1557"/>
      <c r="F8" s="1557"/>
      <c r="G8" s="1106" t="s">
        <v>518</v>
      </c>
      <c r="H8" s="1557"/>
      <c r="I8" s="1557"/>
      <c r="J8" s="1557"/>
      <c r="K8" s="1557"/>
      <c r="L8" s="1837"/>
      <c r="M8" s="1838"/>
      <c r="N8" s="1843"/>
      <c r="O8" s="1844"/>
      <c r="P8" s="1844"/>
      <c r="Q8" s="1844"/>
      <c r="R8" s="1844"/>
      <c r="S8" s="1844"/>
      <c r="T8" s="1844"/>
      <c r="U8" s="1845"/>
      <c r="V8" s="1839"/>
      <c r="W8" s="1570" t="s">
        <v>349</v>
      </c>
      <c r="X8" s="1565" t="s">
        <v>684</v>
      </c>
      <c r="Y8" s="1565" t="s">
        <v>704</v>
      </c>
      <c r="Z8" s="1858"/>
      <c r="AA8" s="1859"/>
      <c r="AB8" s="1859"/>
      <c r="AC8" s="1860"/>
      <c r="AD8" s="1851"/>
      <c r="AE8" s="1852"/>
      <c r="AF8" s="1570" t="s">
        <v>349</v>
      </c>
      <c r="AG8" s="1565" t="s">
        <v>684</v>
      </c>
      <c r="AH8" s="1565" t="s">
        <v>704</v>
      </c>
      <c r="AI8" s="1566" t="s">
        <v>705</v>
      </c>
      <c r="AK8" s="1550"/>
      <c r="AL8" s="1551"/>
      <c r="AM8" s="1552"/>
    </row>
    <row r="9" spans="1:39" ht="63.75">
      <c r="A9" s="1555"/>
      <c r="B9" s="1555"/>
      <c r="C9" s="1555"/>
      <c r="D9" s="1555"/>
      <c r="E9" s="1558"/>
      <c r="F9" s="1558"/>
      <c r="G9" s="1107"/>
      <c r="H9" s="1558"/>
      <c r="I9" s="1558"/>
      <c r="J9" s="1558"/>
      <c r="K9" s="1558"/>
      <c r="L9" s="1837"/>
      <c r="M9" s="1838"/>
      <c r="N9" s="1109" t="s">
        <v>152</v>
      </c>
      <c r="O9" s="492">
        <v>2019</v>
      </c>
      <c r="P9" s="492">
        <v>2020</v>
      </c>
      <c r="Q9" s="492">
        <v>2021</v>
      </c>
      <c r="R9" s="492">
        <v>2022</v>
      </c>
      <c r="S9" s="492">
        <v>2023</v>
      </c>
      <c r="T9" s="492">
        <v>2024</v>
      </c>
      <c r="U9" s="493">
        <v>2025</v>
      </c>
      <c r="V9" s="1839"/>
      <c r="W9" s="1570"/>
      <c r="X9" s="1565"/>
      <c r="Y9" s="1565"/>
      <c r="Z9" s="1112" t="s">
        <v>349</v>
      </c>
      <c r="AA9" s="1111" t="s">
        <v>684</v>
      </c>
      <c r="AB9" s="1111" t="s">
        <v>818</v>
      </c>
      <c r="AC9" s="1121" t="s">
        <v>705</v>
      </c>
      <c r="AD9" s="1853"/>
      <c r="AE9" s="1854"/>
      <c r="AF9" s="1570"/>
      <c r="AG9" s="1565"/>
      <c r="AH9" s="1565"/>
      <c r="AI9" s="1566"/>
      <c r="AK9" s="1110" t="s">
        <v>349</v>
      </c>
      <c r="AL9" s="1108" t="s">
        <v>684</v>
      </c>
      <c r="AM9" s="679" t="s">
        <v>703</v>
      </c>
    </row>
    <row r="10" spans="1:39" s="572" customFormat="1" ht="35.1" customHeight="1">
      <c r="A10" s="559"/>
      <c r="B10" s="576" t="s">
        <v>383</v>
      </c>
      <c r="C10" s="576"/>
      <c r="D10" s="576"/>
      <c r="E10" s="518" t="s">
        <v>608</v>
      </c>
      <c r="F10" s="570"/>
      <c r="G10" s="577"/>
      <c r="H10" s="578"/>
      <c r="I10" s="577"/>
      <c r="J10" s="579"/>
      <c r="K10" s="579"/>
      <c r="L10" s="580"/>
      <c r="M10" s="581"/>
      <c r="N10" s="581"/>
      <c r="O10" s="581"/>
      <c r="P10" s="581"/>
      <c r="Q10" s="581"/>
      <c r="R10" s="581"/>
      <c r="S10" s="581"/>
      <c r="T10" s="581"/>
      <c r="U10" s="582"/>
      <c r="V10" s="582">
        <f>V21+V40+V56</f>
        <v>100</v>
      </c>
      <c r="W10" s="609"/>
      <c r="X10" s="610">
        <f>X21+X40+X56</f>
        <v>2.0031597222222222</v>
      </c>
      <c r="Y10" s="610">
        <f>Y21+Y40+Y56</f>
        <v>11.8291</v>
      </c>
      <c r="Z10" s="609"/>
      <c r="AA10" s="581">
        <f>AA21+AA40+AA56</f>
        <v>142.63500086419756</v>
      </c>
      <c r="AB10" s="581">
        <f>AB21+AB40+AB56</f>
        <v>5.9809629269005846</v>
      </c>
      <c r="AC10" s="570"/>
      <c r="AD10" s="581">
        <f>AD21+AD40+AD56</f>
        <v>554.43147993299726</v>
      </c>
      <c r="AE10" s="581">
        <f>AE21+AE40+AE56</f>
        <v>31.423740370702419</v>
      </c>
      <c r="AF10" s="625"/>
      <c r="AG10" s="581">
        <f>AG21+AG40+AG56</f>
        <v>2.9077422416666669</v>
      </c>
      <c r="AH10" s="581">
        <f>AH21+AH40+AH56</f>
        <v>7.2822799638888895</v>
      </c>
      <c r="AI10" s="570"/>
      <c r="AK10" s="571"/>
      <c r="AL10" s="581">
        <f>AL21+AL40+AL56</f>
        <v>147.54590282808647</v>
      </c>
      <c r="AM10" s="610">
        <f>AM21+AM40+AM56</f>
        <v>25.092342890789475</v>
      </c>
    </row>
    <row r="11" spans="1:39" ht="57" customHeight="1">
      <c r="A11" s="496">
        <v>1</v>
      </c>
      <c r="B11" s="497" t="s">
        <v>384</v>
      </c>
      <c r="C11" s="497" t="s">
        <v>410</v>
      </c>
      <c r="D11" s="497"/>
      <c r="E11" s="528" t="s">
        <v>610</v>
      </c>
      <c r="F11" s="668"/>
      <c r="G11" s="504"/>
      <c r="H11" s="499" t="s">
        <v>427</v>
      </c>
      <c r="I11" s="499"/>
      <c r="J11" s="390" t="s">
        <v>366</v>
      </c>
      <c r="K11" s="390" t="s">
        <v>229</v>
      </c>
      <c r="L11" s="416" t="s">
        <v>362</v>
      </c>
      <c r="M11" s="500"/>
      <c r="N11" s="632">
        <v>0.15</v>
      </c>
      <c r="O11" s="631"/>
      <c r="P11" s="631"/>
      <c r="Q11" s="631"/>
      <c r="R11" s="631"/>
      <c r="S11" s="631"/>
      <c r="T11" s="631"/>
      <c r="U11" s="502"/>
      <c r="V11" s="502"/>
      <c r="W11" s="603"/>
      <c r="X11" s="500"/>
      <c r="Y11" s="608"/>
      <c r="Z11" s="654"/>
      <c r="AA11" s="657" t="s">
        <v>677</v>
      </c>
      <c r="AB11" s="407"/>
      <c r="AC11" s="397" t="s">
        <v>861</v>
      </c>
      <c r="AD11" s="657" t="s">
        <v>677</v>
      </c>
      <c r="AE11" s="407"/>
      <c r="AF11" s="654">
        <f>P11/2</f>
        <v>0</v>
      </c>
      <c r="AG11" s="657" t="s">
        <v>677</v>
      </c>
      <c r="AH11" s="400" t="e">
        <f t="shared" ref="AH11:AH142" si="0">AG11/AF11</f>
        <v>#VALUE!</v>
      </c>
      <c r="AI11" s="397"/>
      <c r="AK11" s="611"/>
      <c r="AL11" s="612"/>
      <c r="AM11" s="688"/>
    </row>
    <row r="12" spans="1:39" ht="35.1" customHeight="1">
      <c r="A12" s="496"/>
      <c r="B12" s="497" t="s">
        <v>503</v>
      </c>
      <c r="C12" s="497"/>
      <c r="D12" s="497"/>
      <c r="E12" s="529" t="s">
        <v>422</v>
      </c>
      <c r="F12" s="667"/>
      <c r="G12" s="504"/>
      <c r="H12" s="499"/>
      <c r="I12" s="504"/>
      <c r="J12" s="390" t="s">
        <v>366</v>
      </c>
      <c r="K12" s="390" t="s">
        <v>229</v>
      </c>
      <c r="L12" s="416" t="s">
        <v>432</v>
      </c>
      <c r="M12" s="500">
        <v>2.7</v>
      </c>
      <c r="N12" s="500">
        <f>M12+(M12*$N$11)</f>
        <v>3.1050000000000004</v>
      </c>
      <c r="O12" s="631">
        <v>0</v>
      </c>
      <c r="P12" s="631">
        <f>M12</f>
        <v>2.7</v>
      </c>
      <c r="Q12" s="631">
        <f>M12+(N12-M12)/4</f>
        <v>2.8012500000000005</v>
      </c>
      <c r="R12" s="631">
        <f>Q12+(N12-M12)/4</f>
        <v>2.9025000000000007</v>
      </c>
      <c r="S12" s="631">
        <f>R12+(N12-M12)/4</f>
        <v>3.003750000000001</v>
      </c>
      <c r="T12" s="631">
        <f>S12+(N12-M12)/4</f>
        <v>3.1050000000000013</v>
      </c>
      <c r="U12" s="502"/>
      <c r="V12" s="502"/>
      <c r="W12" s="603"/>
      <c r="X12" s="500"/>
      <c r="Y12" s="608"/>
      <c r="Z12" s="654"/>
      <c r="AA12" s="657"/>
      <c r="AB12" s="407"/>
      <c r="AC12" s="397"/>
      <c r="AD12" s="657"/>
      <c r="AE12" s="407"/>
      <c r="AF12" s="654">
        <f t="shared" ref="AF12:AF20" si="1">Q12/2</f>
        <v>1.4006250000000002</v>
      </c>
      <c r="AG12" s="617"/>
      <c r="AH12" s="400"/>
      <c r="AI12" s="397"/>
      <c r="AK12" s="611"/>
      <c r="AL12" s="612"/>
      <c r="AM12" s="688"/>
    </row>
    <row r="13" spans="1:39" ht="35.1" customHeight="1">
      <c r="A13" s="496"/>
      <c r="B13" s="497" t="s">
        <v>504</v>
      </c>
      <c r="C13" s="497"/>
      <c r="D13" s="497"/>
      <c r="E13" s="529" t="s">
        <v>423</v>
      </c>
      <c r="F13" s="667"/>
      <c r="G13" s="504"/>
      <c r="H13" s="499"/>
      <c r="I13" s="504"/>
      <c r="J13" s="390" t="s">
        <v>366</v>
      </c>
      <c r="K13" s="390" t="s">
        <v>229</v>
      </c>
      <c r="L13" s="416" t="s">
        <v>432</v>
      </c>
      <c r="M13" s="500">
        <v>4</v>
      </c>
      <c r="N13" s="500">
        <f>M13+(M13*$N$11)</f>
        <v>4.5999999999999996</v>
      </c>
      <c r="O13" s="631">
        <v>0</v>
      </c>
      <c r="P13" s="631">
        <f>M13</f>
        <v>4</v>
      </c>
      <c r="Q13" s="631">
        <f>M13+(N13-M13)/4</f>
        <v>4.1500000000000004</v>
      </c>
      <c r="R13" s="631">
        <f>Q13+(N13-M13)/4</f>
        <v>4.3000000000000007</v>
      </c>
      <c r="S13" s="631">
        <f>R13+(N13-M13)/4</f>
        <v>4.4500000000000011</v>
      </c>
      <c r="T13" s="631">
        <f>S13+(N13-M13)/4</f>
        <v>4.6000000000000014</v>
      </c>
      <c r="U13" s="502"/>
      <c r="V13" s="502"/>
      <c r="W13" s="603"/>
      <c r="X13" s="500"/>
      <c r="Y13" s="608"/>
      <c r="Z13" s="654"/>
      <c r="AA13" s="617"/>
      <c r="AB13" s="407"/>
      <c r="AC13" s="397"/>
      <c r="AD13" s="617"/>
      <c r="AE13" s="407"/>
      <c r="AF13" s="654">
        <f t="shared" si="1"/>
        <v>2.0750000000000002</v>
      </c>
      <c r="AG13" s="617"/>
      <c r="AH13" s="400"/>
      <c r="AI13" s="397"/>
      <c r="AK13" s="611"/>
      <c r="AL13" s="612"/>
      <c r="AM13" s="688"/>
    </row>
    <row r="14" spans="1:39" ht="35.1" customHeight="1">
      <c r="A14" s="496"/>
      <c r="B14" s="497" t="s">
        <v>505</v>
      </c>
      <c r="C14" s="497"/>
      <c r="D14" s="497"/>
      <c r="E14" s="529" t="s">
        <v>424</v>
      </c>
      <c r="F14" s="667"/>
      <c r="G14" s="504"/>
      <c r="H14" s="499"/>
      <c r="I14" s="504"/>
      <c r="J14" s="390" t="s">
        <v>366</v>
      </c>
      <c r="K14" s="390" t="s">
        <v>229</v>
      </c>
      <c r="L14" s="416" t="s">
        <v>432</v>
      </c>
      <c r="M14" s="500">
        <v>20</v>
      </c>
      <c r="N14" s="500">
        <f>M14+(M14*$N$11)</f>
        <v>23</v>
      </c>
      <c r="O14" s="631">
        <v>0</v>
      </c>
      <c r="P14" s="631">
        <f>M14</f>
        <v>20</v>
      </c>
      <c r="Q14" s="631">
        <f>M14+(N14-M14)/4</f>
        <v>20.75</v>
      </c>
      <c r="R14" s="631">
        <f>Q14+(N14-M14)/4</f>
        <v>21.5</v>
      </c>
      <c r="S14" s="631">
        <f>R14+(N14-M14)/4</f>
        <v>22.25</v>
      </c>
      <c r="T14" s="631">
        <f>S14+(N14-M14)/4</f>
        <v>23</v>
      </c>
      <c r="U14" s="502"/>
      <c r="V14" s="502"/>
      <c r="W14" s="603"/>
      <c r="X14" s="500"/>
      <c r="Y14" s="608"/>
      <c r="Z14" s="654"/>
      <c r="AA14" s="617"/>
      <c r="AB14" s="407"/>
      <c r="AC14" s="397"/>
      <c r="AD14" s="617"/>
      <c r="AE14" s="407"/>
      <c r="AF14" s="654">
        <f t="shared" si="1"/>
        <v>10.375</v>
      </c>
      <c r="AG14" s="617"/>
      <c r="AH14" s="400"/>
      <c r="AI14" s="397"/>
      <c r="AK14" s="611"/>
      <c r="AL14" s="612"/>
      <c r="AM14" s="688"/>
    </row>
    <row r="15" spans="1:39" ht="35.1" customHeight="1">
      <c r="A15" s="496"/>
      <c r="B15" s="497" t="s">
        <v>505</v>
      </c>
      <c r="C15" s="497"/>
      <c r="D15" s="497"/>
      <c r="E15" s="529" t="s">
        <v>425</v>
      </c>
      <c r="F15" s="667"/>
      <c r="G15" s="504"/>
      <c r="H15" s="499"/>
      <c r="I15" s="504"/>
      <c r="J15" s="390" t="s">
        <v>366</v>
      </c>
      <c r="K15" s="390" t="s">
        <v>229</v>
      </c>
      <c r="L15" s="416" t="s">
        <v>432</v>
      </c>
      <c r="M15" s="500">
        <v>15</v>
      </c>
      <c r="N15" s="500">
        <f>M15+(M15*$N$11)</f>
        <v>17.25</v>
      </c>
      <c r="O15" s="631">
        <v>0</v>
      </c>
      <c r="P15" s="631">
        <f>M15</f>
        <v>15</v>
      </c>
      <c r="Q15" s="631">
        <f>M15+(N15-M15)/4</f>
        <v>15.5625</v>
      </c>
      <c r="R15" s="631">
        <f>Q15+(N15-M15)/4</f>
        <v>16.125</v>
      </c>
      <c r="S15" s="631">
        <f>R15+(N15-M15)/4</f>
        <v>16.6875</v>
      </c>
      <c r="T15" s="631">
        <f>S15+(N15-M15)/4</f>
        <v>17.25</v>
      </c>
      <c r="U15" s="502"/>
      <c r="V15" s="502"/>
      <c r="W15" s="603"/>
      <c r="X15" s="500"/>
      <c r="Y15" s="608"/>
      <c r="Z15" s="654"/>
      <c r="AA15" s="617"/>
      <c r="AB15" s="407"/>
      <c r="AC15" s="397"/>
      <c r="AD15" s="617"/>
      <c r="AE15" s="407"/>
      <c r="AF15" s="654">
        <f t="shared" si="1"/>
        <v>7.78125</v>
      </c>
      <c r="AG15" s="617"/>
      <c r="AH15" s="400"/>
      <c r="AI15" s="397"/>
      <c r="AK15" s="611"/>
      <c r="AL15" s="612"/>
      <c r="AM15" s="688"/>
    </row>
    <row r="16" spans="1:39" ht="59.25" customHeight="1">
      <c r="A16" s="496">
        <v>2</v>
      </c>
      <c r="B16" s="497" t="s">
        <v>385</v>
      </c>
      <c r="C16" s="497" t="s">
        <v>411</v>
      </c>
      <c r="D16" s="497"/>
      <c r="E16" s="531" t="s">
        <v>381</v>
      </c>
      <c r="F16" s="667" t="s">
        <v>696</v>
      </c>
      <c r="G16" s="504"/>
      <c r="H16" s="499" t="s">
        <v>428</v>
      </c>
      <c r="I16" s="504"/>
      <c r="J16" s="390"/>
      <c r="K16" s="390"/>
      <c r="L16" s="416" t="s">
        <v>352</v>
      </c>
      <c r="M16" s="505">
        <v>0</v>
      </c>
      <c r="N16" s="501">
        <v>240000</v>
      </c>
      <c r="O16" s="505">
        <v>0</v>
      </c>
      <c r="P16" s="505">
        <v>0</v>
      </c>
      <c r="Q16" s="505">
        <v>0</v>
      </c>
      <c r="R16" s="505">
        <v>80000</v>
      </c>
      <c r="S16" s="505">
        <v>80000</v>
      </c>
      <c r="T16" s="505">
        <v>80000</v>
      </c>
      <c r="U16" s="502"/>
      <c r="V16" s="502"/>
      <c r="W16" s="603"/>
      <c r="X16" s="500"/>
      <c r="Y16" s="608"/>
      <c r="Z16" s="654"/>
      <c r="AA16" s="657" t="s">
        <v>677</v>
      </c>
      <c r="AB16" s="407"/>
      <c r="AC16" s="397" t="s">
        <v>861</v>
      </c>
      <c r="AD16" s="657" t="s">
        <v>677</v>
      </c>
      <c r="AE16" s="407"/>
      <c r="AF16" s="654">
        <f t="shared" si="1"/>
        <v>0</v>
      </c>
      <c r="AG16" s="657" t="s">
        <v>677</v>
      </c>
      <c r="AH16" s="400" t="e">
        <f t="shared" si="0"/>
        <v>#VALUE!</v>
      </c>
      <c r="AI16" s="397"/>
      <c r="AK16" s="611"/>
      <c r="AL16" s="612"/>
      <c r="AM16" s="688"/>
    </row>
    <row r="17" spans="1:41" ht="87.75" customHeight="1">
      <c r="A17" s="496">
        <v>3</v>
      </c>
      <c r="B17" s="497" t="s">
        <v>386</v>
      </c>
      <c r="C17" s="497" t="s">
        <v>412</v>
      </c>
      <c r="D17" s="497"/>
      <c r="E17" s="528" t="s">
        <v>382</v>
      </c>
      <c r="F17" s="668"/>
      <c r="G17" s="504"/>
      <c r="H17" s="499" t="s">
        <v>429</v>
      </c>
      <c r="I17" s="504"/>
      <c r="J17" s="390" t="s">
        <v>366</v>
      </c>
      <c r="K17" s="390" t="s">
        <v>229</v>
      </c>
      <c r="L17" s="416" t="s">
        <v>362</v>
      </c>
      <c r="M17" s="505">
        <v>0</v>
      </c>
      <c r="N17" s="501">
        <v>50</v>
      </c>
      <c r="O17" s="505">
        <v>0</v>
      </c>
      <c r="P17" s="505">
        <v>0</v>
      </c>
      <c r="Q17" s="505">
        <v>0</v>
      </c>
      <c r="R17" s="505">
        <v>5</v>
      </c>
      <c r="S17" s="505">
        <v>20</v>
      </c>
      <c r="T17" s="505">
        <v>25</v>
      </c>
      <c r="U17" s="502"/>
      <c r="V17" s="502"/>
      <c r="W17" s="603"/>
      <c r="X17" s="500"/>
      <c r="Y17" s="608"/>
      <c r="Z17" s="654"/>
      <c r="AA17" s="657" t="s">
        <v>677</v>
      </c>
      <c r="AB17" s="407"/>
      <c r="AC17" s="397" t="s">
        <v>861</v>
      </c>
      <c r="AD17" s="657" t="s">
        <v>677</v>
      </c>
      <c r="AE17" s="407"/>
      <c r="AF17" s="654">
        <f t="shared" si="1"/>
        <v>0</v>
      </c>
      <c r="AG17" s="657" t="s">
        <v>677</v>
      </c>
      <c r="AH17" s="400" t="e">
        <f t="shared" si="0"/>
        <v>#VALUE!</v>
      </c>
      <c r="AI17" s="397"/>
      <c r="AK17" s="611"/>
      <c r="AL17" s="612"/>
      <c r="AM17" s="688"/>
    </row>
    <row r="18" spans="1:41" ht="35.1" customHeight="1">
      <c r="A18" s="496"/>
      <c r="B18" s="497" t="s">
        <v>506</v>
      </c>
      <c r="C18" s="497"/>
      <c r="D18" s="497"/>
      <c r="E18" s="529" t="s">
        <v>697</v>
      </c>
      <c r="F18" s="667"/>
      <c r="G18" s="504"/>
      <c r="H18" s="499"/>
      <c r="I18" s="504"/>
      <c r="J18" s="390" t="s">
        <v>366</v>
      </c>
      <c r="K18" s="390" t="s">
        <v>229</v>
      </c>
      <c r="L18" s="416" t="s">
        <v>362</v>
      </c>
      <c r="M18" s="505">
        <v>0</v>
      </c>
      <c r="N18" s="501">
        <v>10</v>
      </c>
      <c r="O18" s="505">
        <v>0</v>
      </c>
      <c r="P18" s="505"/>
      <c r="Q18" s="631">
        <f>M18+(N18-M18)/4</f>
        <v>2.5</v>
      </c>
      <c r="R18" s="631">
        <f>Q18+(N18-M18)/4</f>
        <v>5</v>
      </c>
      <c r="S18" s="631">
        <f>R18+(N18-M18)/4</f>
        <v>7.5</v>
      </c>
      <c r="T18" s="631">
        <f>S18+(N18-M18)/4</f>
        <v>10</v>
      </c>
      <c r="U18" s="502"/>
      <c r="V18" s="502"/>
      <c r="W18" s="603"/>
      <c r="X18" s="500"/>
      <c r="Y18" s="608"/>
      <c r="Z18" s="654"/>
      <c r="AA18" s="617"/>
      <c r="AB18" s="407"/>
      <c r="AC18" s="397"/>
      <c r="AD18" s="617"/>
      <c r="AE18" s="407"/>
      <c r="AF18" s="654">
        <f t="shared" si="1"/>
        <v>1.25</v>
      </c>
      <c r="AG18" s="617"/>
      <c r="AH18" s="400"/>
      <c r="AI18" s="397"/>
      <c r="AK18" s="611"/>
      <c r="AL18" s="612"/>
      <c r="AM18" s="688"/>
    </row>
    <row r="19" spans="1:41" ht="35.1" customHeight="1">
      <c r="A19" s="496"/>
      <c r="B19" s="497" t="s">
        <v>507</v>
      </c>
      <c r="C19" s="497"/>
      <c r="D19" s="497"/>
      <c r="E19" s="529" t="s">
        <v>430</v>
      </c>
      <c r="F19" s="667" t="s">
        <v>698</v>
      </c>
      <c r="G19" s="504"/>
      <c r="H19" s="499"/>
      <c r="I19" s="504"/>
      <c r="J19" s="390" t="s">
        <v>366</v>
      </c>
      <c r="K19" s="390" t="s">
        <v>229</v>
      </c>
      <c r="L19" s="416" t="s">
        <v>362</v>
      </c>
      <c r="M19" s="505">
        <v>0</v>
      </c>
      <c r="N19" s="501">
        <v>20</v>
      </c>
      <c r="O19" s="505">
        <v>0</v>
      </c>
      <c r="P19" s="505"/>
      <c r="Q19" s="631">
        <f>M19+(N19-M19)/4</f>
        <v>5</v>
      </c>
      <c r="R19" s="631">
        <f>Q19+(N19-M19)/4</f>
        <v>10</v>
      </c>
      <c r="S19" s="631">
        <f>R19+(N19-M19)/4</f>
        <v>15</v>
      </c>
      <c r="T19" s="631">
        <f>S19+(N19-M19)/4</f>
        <v>20</v>
      </c>
      <c r="U19" s="502"/>
      <c r="V19" s="502"/>
      <c r="W19" s="603"/>
      <c r="X19" s="500"/>
      <c r="Y19" s="608"/>
      <c r="Z19" s="654"/>
      <c r="AA19" s="617"/>
      <c r="AB19" s="407"/>
      <c r="AC19" s="397"/>
      <c r="AD19" s="617"/>
      <c r="AE19" s="407"/>
      <c r="AF19" s="654">
        <f t="shared" si="1"/>
        <v>2.5</v>
      </c>
      <c r="AG19" s="617"/>
      <c r="AH19" s="400"/>
      <c r="AI19" s="397"/>
      <c r="AK19" s="611"/>
      <c r="AL19" s="612"/>
      <c r="AM19" s="688"/>
    </row>
    <row r="20" spans="1:41" ht="35.1" customHeight="1">
      <c r="A20" s="496"/>
      <c r="B20" s="497" t="s">
        <v>508</v>
      </c>
      <c r="C20" s="497"/>
      <c r="D20" s="497"/>
      <c r="E20" s="529" t="s">
        <v>431</v>
      </c>
      <c r="F20" s="667"/>
      <c r="G20" s="504"/>
      <c r="H20" s="499"/>
      <c r="I20" s="504"/>
      <c r="J20" s="390" t="s">
        <v>366</v>
      </c>
      <c r="K20" s="390" t="s">
        <v>229</v>
      </c>
      <c r="L20" s="416" t="s">
        <v>362</v>
      </c>
      <c r="M20" s="505">
        <v>0</v>
      </c>
      <c r="N20" s="501">
        <v>10</v>
      </c>
      <c r="O20" s="505">
        <v>0</v>
      </c>
      <c r="P20" s="505"/>
      <c r="Q20" s="631">
        <f>M20+(N20-M20)/4</f>
        <v>2.5</v>
      </c>
      <c r="R20" s="631">
        <f>Q20+(N20-M20)/4</f>
        <v>5</v>
      </c>
      <c r="S20" s="631">
        <f>R20+(N20-M20)/4</f>
        <v>7.5</v>
      </c>
      <c r="T20" s="631">
        <f>S20+(N20-M20)/4</f>
        <v>10</v>
      </c>
      <c r="U20" s="502"/>
      <c r="V20" s="502"/>
      <c r="W20" s="603"/>
      <c r="X20" s="500"/>
      <c r="Y20" s="608"/>
      <c r="Z20" s="654"/>
      <c r="AA20" s="617"/>
      <c r="AB20" s="407"/>
      <c r="AC20" s="397"/>
      <c r="AD20" s="617"/>
      <c r="AE20" s="407"/>
      <c r="AF20" s="654">
        <f t="shared" si="1"/>
        <v>1.25</v>
      </c>
      <c r="AG20" s="617"/>
      <c r="AH20" s="400"/>
      <c r="AI20" s="397"/>
      <c r="AK20" s="611"/>
      <c r="AL20" s="612"/>
      <c r="AM20" s="688"/>
    </row>
    <row r="21" spans="1:41" s="572" customFormat="1" ht="35.1" customHeight="1">
      <c r="A21" s="559"/>
      <c r="B21" s="560" t="s">
        <v>387</v>
      </c>
      <c r="C21" s="560">
        <v>1</v>
      </c>
      <c r="D21" s="560"/>
      <c r="E21" s="561" t="s">
        <v>390</v>
      </c>
      <c r="F21" s="562"/>
      <c r="G21" s="563"/>
      <c r="H21" s="564"/>
      <c r="I21" s="563"/>
      <c r="J21" s="565"/>
      <c r="K21" s="565"/>
      <c r="L21" s="566"/>
      <c r="M21" s="567"/>
      <c r="N21" s="568"/>
      <c r="O21" s="567"/>
      <c r="P21" s="567"/>
      <c r="Q21" s="567"/>
      <c r="R21" s="567"/>
      <c r="S21" s="567"/>
      <c r="T21" s="567"/>
      <c r="U21" s="569"/>
      <c r="V21" s="569">
        <f>'DMF PI Links Physical Prog.S1'!Q21</f>
        <v>65</v>
      </c>
      <c r="W21" s="662"/>
      <c r="X21" s="614"/>
      <c r="Y21" s="569">
        <f>'3. DMF Progress'!F17</f>
        <v>7.4775999999999998</v>
      </c>
      <c r="Z21" s="627"/>
      <c r="AA21" s="569">
        <f>'3. DMF Progress'!T17</f>
        <v>30.787377407407412</v>
      </c>
      <c r="AB21" s="569">
        <f>'3. DMF Progress'!AN17</f>
        <v>2.9620377222222221</v>
      </c>
      <c r="AC21" s="562"/>
      <c r="AD21" s="569">
        <f>'3. DMF Progress'!U17</f>
        <v>188.05562285047617</v>
      </c>
      <c r="AE21" s="569">
        <f>'3. DMF Progress'!AO17</f>
        <v>19.485203689415869</v>
      </c>
      <c r="AF21" s="627"/>
      <c r="AG21" s="686">
        <f>'3. DMF Progress'!AS17</f>
        <v>1.7910672416666669</v>
      </c>
      <c r="AH21" s="686">
        <f>'3. DMF Progress'!AT17</f>
        <v>4.7531049638888891</v>
      </c>
      <c r="AI21" s="562"/>
      <c r="AK21" s="687"/>
      <c r="AL21" s="689">
        <f>X21+AA21+AG21</f>
        <v>32.578444649074079</v>
      </c>
      <c r="AM21" s="689">
        <f>Y21+AB21+AH21</f>
        <v>15.192742686111112</v>
      </c>
      <c r="AO21" s="1122"/>
    </row>
    <row r="22" spans="1:41" ht="252.75" customHeight="1">
      <c r="A22" s="496">
        <v>4</v>
      </c>
      <c r="B22" s="497" t="s">
        <v>392</v>
      </c>
      <c r="C22" s="497" t="s">
        <v>416</v>
      </c>
      <c r="D22" s="497"/>
      <c r="E22" s="531" t="s">
        <v>906</v>
      </c>
      <c r="F22" s="668" t="s">
        <v>679</v>
      </c>
      <c r="G22" s="504"/>
      <c r="H22" s="499" t="s">
        <v>660</v>
      </c>
      <c r="I22" s="504"/>
      <c r="J22" s="390" t="s">
        <v>365</v>
      </c>
      <c r="K22" s="390" t="s">
        <v>230</v>
      </c>
      <c r="L22" s="416" t="s">
        <v>435</v>
      </c>
      <c r="M22" s="505">
        <v>0</v>
      </c>
      <c r="N22" s="501">
        <v>27</v>
      </c>
      <c r="O22" s="505">
        <v>0</v>
      </c>
      <c r="P22" s="500">
        <f>'Output 1'!I9</f>
        <v>10</v>
      </c>
      <c r="Q22" s="500">
        <f>'Output 1'!M9</f>
        <v>9</v>
      </c>
      <c r="R22" s="500"/>
      <c r="S22" s="500"/>
      <c r="T22" s="500"/>
      <c r="U22" s="502"/>
      <c r="V22" s="502">
        <f>'DMF PI Links Physical Prog.S1'!Q22</f>
        <v>15</v>
      </c>
      <c r="W22" s="603">
        <f>P22</f>
        <v>10</v>
      </c>
      <c r="X22" s="597">
        <f>'3. DMF Progress'!E9</f>
        <v>10.06</v>
      </c>
      <c r="Y22" s="602">
        <f>'3. DMF Progress'!F9</f>
        <v>1.5090000000000001</v>
      </c>
      <c r="Z22" s="654">
        <f t="shared" ref="Z22:Z28" si="2">Q22/4</f>
        <v>2.25</v>
      </c>
      <c r="AA22" s="617">
        <f>'3. DMF Progress'!T9</f>
        <v>0.18518518518518517</v>
      </c>
      <c r="AB22" s="740">
        <f>'3. DMF Progress'!AN9</f>
        <v>2.7777777777777776E-2</v>
      </c>
      <c r="AC22" s="397" t="s">
        <v>862</v>
      </c>
      <c r="AD22" s="617">
        <f>'3. DMF Progress'!U9</f>
        <v>30.852330634920634</v>
      </c>
      <c r="AE22" s="740">
        <f>'3. DMF Progress'!AO9</f>
        <v>4.6278495952380947</v>
      </c>
      <c r="AF22" s="654">
        <f t="shared" ref="AF22:AF39" si="3">Q22/2</f>
        <v>4.5</v>
      </c>
      <c r="AG22" s="617"/>
      <c r="AH22" s="400">
        <f t="shared" si="0"/>
        <v>0</v>
      </c>
      <c r="AI22" s="397"/>
      <c r="AK22" s="611">
        <f>W22+Z22+AF22</f>
        <v>16.75</v>
      </c>
      <c r="AL22" s="612">
        <f>X22+AA22+AG22</f>
        <v>10.245185185185186</v>
      </c>
      <c r="AM22" s="688">
        <f>Y22+AB22+AH22</f>
        <v>1.5367777777777778</v>
      </c>
    </row>
    <row r="23" spans="1:41" ht="35.1" customHeight="1">
      <c r="A23" s="496"/>
      <c r="B23" s="497" t="s">
        <v>479</v>
      </c>
      <c r="C23" s="497"/>
      <c r="D23" s="497"/>
      <c r="E23" s="529" t="s">
        <v>461</v>
      </c>
      <c r="F23" s="667"/>
      <c r="G23" s="504"/>
      <c r="H23" s="499"/>
      <c r="I23" s="504"/>
      <c r="J23" s="390" t="s">
        <v>365</v>
      </c>
      <c r="K23" s="390" t="s">
        <v>230</v>
      </c>
      <c r="L23" s="416" t="s">
        <v>462</v>
      </c>
      <c r="M23" s="505">
        <v>0</v>
      </c>
      <c r="N23" s="501">
        <v>27</v>
      </c>
      <c r="O23" s="505">
        <v>0</v>
      </c>
      <c r="P23" s="500">
        <f>'Output 1'!I9</f>
        <v>10</v>
      </c>
      <c r="Q23" s="500">
        <f>'Output 1'!M9</f>
        <v>9</v>
      </c>
      <c r="R23" s="500">
        <v>8</v>
      </c>
      <c r="S23" s="500"/>
      <c r="T23" s="500"/>
      <c r="U23" s="502"/>
      <c r="V23" s="502"/>
      <c r="W23" s="603">
        <f>'Output 1'!I9</f>
        <v>10</v>
      </c>
      <c r="X23" s="597">
        <f>'Output 1'!J9</f>
        <v>17.1936</v>
      </c>
      <c r="Y23" s="602">
        <f>'3. DMF Progress'!F10</f>
        <v>0.20649999999999999</v>
      </c>
      <c r="Z23" s="654">
        <f t="shared" si="2"/>
        <v>2.25</v>
      </c>
      <c r="AA23" s="617">
        <f>'3. DMF Progress'!T9</f>
        <v>0.18518518518518517</v>
      </c>
      <c r="AB23" s="740">
        <f>'3. DMF Progress'!AN9</f>
        <v>2.7777777777777776E-2</v>
      </c>
      <c r="AC23" s="397"/>
      <c r="AD23" s="617">
        <f>'3. DMF Progress'!U9</f>
        <v>30.852330634920634</v>
      </c>
      <c r="AE23" s="740">
        <f>'3. DMF Progress'!AO9</f>
        <v>4.6278495952380947</v>
      </c>
      <c r="AF23" s="654">
        <f t="shared" si="3"/>
        <v>4.5</v>
      </c>
      <c r="AG23" s="617"/>
      <c r="AH23" s="400"/>
      <c r="AI23" s="397"/>
      <c r="AK23" s="611"/>
      <c r="AL23" s="612"/>
      <c r="AM23" s="613"/>
    </row>
    <row r="24" spans="1:41" ht="35.1" customHeight="1">
      <c r="A24" s="496"/>
      <c r="B24" s="497" t="s">
        <v>480</v>
      </c>
      <c r="C24" s="497"/>
      <c r="D24" s="497"/>
      <c r="E24" s="529" t="s">
        <v>433</v>
      </c>
      <c r="F24" s="667"/>
      <c r="G24" s="504"/>
      <c r="H24" s="499"/>
      <c r="I24" s="504"/>
      <c r="J24" s="390" t="s">
        <v>365</v>
      </c>
      <c r="K24" s="390" t="s">
        <v>230</v>
      </c>
      <c r="L24" s="416" t="s">
        <v>205</v>
      </c>
      <c r="M24" s="505">
        <v>0</v>
      </c>
      <c r="N24" s="501">
        <v>15000</v>
      </c>
      <c r="O24" s="505">
        <v>0</v>
      </c>
      <c r="P24" s="500">
        <f>'Output 1'!I12</f>
        <v>4050</v>
      </c>
      <c r="Q24" s="500">
        <f>'Output 1'!M12</f>
        <v>5333</v>
      </c>
      <c r="R24" s="517">
        <f>N24-(P24+Q24)</f>
        <v>5617</v>
      </c>
      <c r="S24" s="500"/>
      <c r="T24" s="500"/>
      <c r="U24" s="502"/>
      <c r="V24" s="502"/>
      <c r="W24" s="603">
        <f>'Output 1'!I12</f>
        <v>4050</v>
      </c>
      <c r="X24" s="597">
        <f>'Output 1'!J12</f>
        <v>1399.5000000000002</v>
      </c>
      <c r="Y24" s="602">
        <f>'Output 1'!K12</f>
        <v>1.8660000000000001</v>
      </c>
      <c r="Z24" s="654">
        <f t="shared" si="2"/>
        <v>1333.25</v>
      </c>
      <c r="AA24" s="617">
        <f>'Output 1'!CT13</f>
        <v>0</v>
      </c>
      <c r="AB24" s="407">
        <f>'Output 1'!CU13</f>
        <v>0</v>
      </c>
      <c r="AC24" s="397"/>
      <c r="AD24" s="617">
        <f>'Output 1'!DB13</f>
        <v>571.42857142857144</v>
      </c>
      <c r="AE24" s="407">
        <f>'Output 1'!DC13</f>
        <v>1.9047619047619049</v>
      </c>
      <c r="AF24" s="654">
        <f t="shared" si="3"/>
        <v>2666.5</v>
      </c>
      <c r="AG24" s="617"/>
      <c r="AH24" s="400"/>
      <c r="AI24" s="397"/>
      <c r="AK24" s="611"/>
      <c r="AL24" s="612"/>
      <c r="AM24" s="613"/>
    </row>
    <row r="25" spans="1:41" ht="35.1" customHeight="1">
      <c r="A25" s="496"/>
      <c r="B25" s="497" t="s">
        <v>481</v>
      </c>
      <c r="C25" s="497"/>
      <c r="D25" s="660" t="s">
        <v>672</v>
      </c>
      <c r="E25" s="529" t="s">
        <v>434</v>
      </c>
      <c r="F25" s="667"/>
      <c r="G25" s="504"/>
      <c r="H25" s="499"/>
      <c r="I25" s="504"/>
      <c r="J25" s="390" t="s">
        <v>365</v>
      </c>
      <c r="K25" s="390" t="s">
        <v>230</v>
      </c>
      <c r="L25" s="416" t="s">
        <v>436</v>
      </c>
      <c r="M25" s="505">
        <v>0</v>
      </c>
      <c r="N25" s="501">
        <v>25000</v>
      </c>
      <c r="O25" s="505">
        <v>0</v>
      </c>
      <c r="P25" s="517"/>
      <c r="Q25" s="500"/>
      <c r="R25" s="517"/>
      <c r="S25" s="500"/>
      <c r="T25" s="500"/>
      <c r="U25" s="502"/>
      <c r="V25" s="502"/>
      <c r="W25" s="603"/>
      <c r="X25" s="597"/>
      <c r="Y25" s="602"/>
      <c r="Z25" s="654">
        <f t="shared" si="2"/>
        <v>0</v>
      </c>
      <c r="AA25" s="1123" t="s">
        <v>814</v>
      </c>
      <c r="AB25" s="1124" t="s">
        <v>814</v>
      </c>
      <c r="AC25" s="397"/>
      <c r="AD25" s="1123" t="s">
        <v>814</v>
      </c>
      <c r="AE25" s="1124" t="s">
        <v>814</v>
      </c>
      <c r="AF25" s="654">
        <f t="shared" si="3"/>
        <v>0</v>
      </c>
      <c r="AG25" s="617"/>
      <c r="AH25" s="400"/>
      <c r="AI25" s="397"/>
      <c r="AK25" s="611"/>
      <c r="AL25" s="612"/>
      <c r="AM25" s="613"/>
    </row>
    <row r="26" spans="1:41" ht="79.5" customHeight="1">
      <c r="A26" s="496">
        <v>5</v>
      </c>
      <c r="B26" s="497" t="s">
        <v>393</v>
      </c>
      <c r="C26" s="497" t="s">
        <v>413</v>
      </c>
      <c r="D26" s="497"/>
      <c r="E26" s="528" t="s">
        <v>391</v>
      </c>
      <c r="F26" s="668" t="s">
        <v>679</v>
      </c>
      <c r="G26" s="504"/>
      <c r="H26" s="499" t="s">
        <v>660</v>
      </c>
      <c r="I26" s="504"/>
      <c r="J26" s="390" t="s">
        <v>366</v>
      </c>
      <c r="K26" s="390" t="s">
        <v>229</v>
      </c>
      <c r="L26" s="416" t="s">
        <v>379</v>
      </c>
      <c r="M26" s="505">
        <v>0</v>
      </c>
      <c r="N26" s="501">
        <v>800</v>
      </c>
      <c r="O26" s="505">
        <v>0</v>
      </c>
      <c r="P26" s="505">
        <v>80</v>
      </c>
      <c r="Q26" s="505">
        <v>280</v>
      </c>
      <c r="R26" s="505">
        <v>290</v>
      </c>
      <c r="S26" s="505">
        <v>150</v>
      </c>
      <c r="T26" s="505">
        <v>0</v>
      </c>
      <c r="U26" s="502"/>
      <c r="V26" s="502">
        <f>'DMF PI Links Physical Prog.S1'!Q26</f>
        <v>5</v>
      </c>
      <c r="W26" s="603"/>
      <c r="X26" s="597">
        <f>'3. DMF Progress'!E10</f>
        <v>4.13</v>
      </c>
      <c r="Y26" s="602">
        <f>'3. DMF Progress'!F10</f>
        <v>0.20649999999999999</v>
      </c>
      <c r="Z26" s="654">
        <f t="shared" si="2"/>
        <v>70</v>
      </c>
      <c r="AA26" s="617">
        <f>'3. DMF Progress'!T10</f>
        <v>0</v>
      </c>
      <c r="AB26" s="740">
        <f>'3. DMF Progress'!AN10</f>
        <v>0</v>
      </c>
      <c r="AC26" s="397" t="s">
        <v>819</v>
      </c>
      <c r="AD26" s="617">
        <f>'3. DMF Progress'!U10</f>
        <v>1.125</v>
      </c>
      <c r="AE26" s="740">
        <f>'3. DMF Progress'!AO10</f>
        <v>5.6249999999999994E-2</v>
      </c>
      <c r="AF26" s="654">
        <f t="shared" si="3"/>
        <v>140</v>
      </c>
      <c r="AG26" s="617"/>
      <c r="AH26" s="400">
        <f t="shared" si="0"/>
        <v>0</v>
      </c>
      <c r="AI26" s="397"/>
      <c r="AK26" s="611">
        <f t="shared" ref="AK26:AM29" si="4">W26+Z26+AF26</f>
        <v>210</v>
      </c>
      <c r="AL26" s="612">
        <f t="shared" si="4"/>
        <v>4.13</v>
      </c>
      <c r="AM26" s="688">
        <f t="shared" si="4"/>
        <v>0.20649999999999999</v>
      </c>
    </row>
    <row r="27" spans="1:41" ht="267" customHeight="1">
      <c r="A27" s="496">
        <v>6</v>
      </c>
      <c r="B27" s="497" t="s">
        <v>394</v>
      </c>
      <c r="C27" s="497" t="s">
        <v>414</v>
      </c>
      <c r="D27" s="497"/>
      <c r="E27" s="531" t="s">
        <v>683</v>
      </c>
      <c r="F27" s="668" t="s">
        <v>679</v>
      </c>
      <c r="G27" s="504"/>
      <c r="H27" s="499" t="s">
        <v>455</v>
      </c>
      <c r="I27" s="504"/>
      <c r="J27" s="390" t="s">
        <v>365</v>
      </c>
      <c r="K27" s="390" t="s">
        <v>231</v>
      </c>
      <c r="L27" s="416" t="s">
        <v>378</v>
      </c>
      <c r="M27" s="505">
        <v>0</v>
      </c>
      <c r="N27" s="501">
        <v>250</v>
      </c>
      <c r="O27" s="505">
        <v>0</v>
      </c>
      <c r="P27" s="505">
        <f>'Output 1'!I23</f>
        <v>67.95</v>
      </c>
      <c r="Q27" s="505">
        <f>'Output 1'!M23</f>
        <v>100.1</v>
      </c>
      <c r="R27" s="505">
        <f>N27-(O27+P27+Q27)</f>
        <v>81.949999999999989</v>
      </c>
      <c r="S27" s="505"/>
      <c r="T27" s="505"/>
      <c r="U27" s="502"/>
      <c r="V27" s="502">
        <f>'DMF PI Links Physical Prog.S1'!Q27</f>
        <v>15</v>
      </c>
      <c r="W27" s="603"/>
      <c r="X27" s="597">
        <f>'3. DMF Progress'!E11</f>
        <v>14.05</v>
      </c>
      <c r="Y27" s="602">
        <f>'3. DMF Progress'!F11</f>
        <v>2.1074999999999999</v>
      </c>
      <c r="Z27" s="654">
        <f t="shared" si="2"/>
        <v>25.024999999999999</v>
      </c>
      <c r="AA27" s="617">
        <f>'3. DMF Progress'!T11</f>
        <v>16.427720000000001</v>
      </c>
      <c r="AB27" s="740">
        <f>'3. DMF Progress'!AN11</f>
        <v>2.4641579999999998</v>
      </c>
      <c r="AC27" s="397" t="s">
        <v>863</v>
      </c>
      <c r="AD27" s="617">
        <f>'3. DMF Progress'!U11</f>
        <v>41.830539999999999</v>
      </c>
      <c r="AE27" s="740">
        <f>'3. DMF Progress'!AO11</f>
        <v>6.2745809999999995</v>
      </c>
      <c r="AF27" s="654">
        <f t="shared" si="3"/>
        <v>50.05</v>
      </c>
      <c r="AG27" s="617"/>
      <c r="AH27" s="400">
        <f t="shared" si="0"/>
        <v>0</v>
      </c>
      <c r="AI27" s="397"/>
      <c r="AK27" s="611">
        <f t="shared" si="4"/>
        <v>75.074999999999989</v>
      </c>
      <c r="AL27" s="612">
        <f t="shared" si="4"/>
        <v>30.477720000000001</v>
      </c>
      <c r="AM27" s="688">
        <f t="shared" si="4"/>
        <v>4.5716579999999993</v>
      </c>
    </row>
    <row r="28" spans="1:41" ht="93" customHeight="1">
      <c r="A28" s="496">
        <v>7</v>
      </c>
      <c r="B28" s="497" t="s">
        <v>395</v>
      </c>
      <c r="C28" s="497" t="s">
        <v>415</v>
      </c>
      <c r="D28" s="497"/>
      <c r="E28" s="528" t="s">
        <v>611</v>
      </c>
      <c r="F28" s="668" t="s">
        <v>679</v>
      </c>
      <c r="G28" s="504" t="s">
        <v>519</v>
      </c>
      <c r="H28" s="499" t="s">
        <v>660</v>
      </c>
      <c r="I28" s="504"/>
      <c r="J28" s="390" t="s">
        <v>366</v>
      </c>
      <c r="K28" s="390" t="s">
        <v>229</v>
      </c>
      <c r="L28" s="416" t="s">
        <v>437</v>
      </c>
      <c r="M28" s="501">
        <v>5</v>
      </c>
      <c r="N28" s="501">
        <v>80</v>
      </c>
      <c r="O28" s="505">
        <v>0</v>
      </c>
      <c r="P28" s="505">
        <v>20</v>
      </c>
      <c r="Q28" s="505">
        <v>35</v>
      </c>
      <c r="R28" s="505">
        <v>25</v>
      </c>
      <c r="S28" s="505">
        <v>0</v>
      </c>
      <c r="T28" s="505">
        <v>0</v>
      </c>
      <c r="U28" s="502"/>
      <c r="V28" s="502">
        <f>'DMF PI Links Physical Prog.S1'!Q28</f>
        <v>15</v>
      </c>
      <c r="W28" s="603"/>
      <c r="X28" s="597">
        <f>'3. DMF Progress'!E12</f>
        <v>15.06</v>
      </c>
      <c r="Y28" s="602">
        <f>'3. DMF Progress'!F12</f>
        <v>2.2589999999999999</v>
      </c>
      <c r="Z28" s="654">
        <f t="shared" si="2"/>
        <v>8.75</v>
      </c>
      <c r="AA28" s="617">
        <f>'3. DMF Progress'!T12</f>
        <v>0.40625</v>
      </c>
      <c r="AB28" s="740">
        <f>'3. DMF Progress'!AN12</f>
        <v>6.0937499999999999E-2</v>
      </c>
      <c r="AC28" s="397" t="s">
        <v>821</v>
      </c>
      <c r="AD28" s="617">
        <f>'3. DMF Progress'!U12</f>
        <v>40.271875000000001</v>
      </c>
      <c r="AE28" s="740">
        <f>'3. DMF Progress'!AO12</f>
        <v>6.0407812499999993</v>
      </c>
      <c r="AF28" s="654">
        <f t="shared" si="3"/>
        <v>17.5</v>
      </c>
      <c r="AG28" s="617"/>
      <c r="AH28" s="400">
        <f t="shared" si="0"/>
        <v>0</v>
      </c>
      <c r="AI28" s="397"/>
      <c r="AK28" s="611">
        <f t="shared" si="4"/>
        <v>26.25</v>
      </c>
      <c r="AL28" s="612">
        <f t="shared" si="4"/>
        <v>15.46625</v>
      </c>
      <c r="AM28" s="688">
        <f t="shared" si="4"/>
        <v>2.3199375</v>
      </c>
    </row>
    <row r="29" spans="1:41" ht="73.5" customHeight="1">
      <c r="A29" s="496">
        <v>8</v>
      </c>
      <c r="B29" s="497" t="s">
        <v>396</v>
      </c>
      <c r="C29" s="497" t="s">
        <v>417</v>
      </c>
      <c r="D29" s="497"/>
      <c r="E29" s="528" t="s">
        <v>612</v>
      </c>
      <c r="F29" s="668" t="s">
        <v>679</v>
      </c>
      <c r="G29" s="504" t="s">
        <v>520</v>
      </c>
      <c r="H29" s="499" t="s">
        <v>660</v>
      </c>
      <c r="I29" s="504"/>
      <c r="J29" s="390" t="s">
        <v>366</v>
      </c>
      <c r="K29" s="390" t="s">
        <v>229</v>
      </c>
      <c r="L29" s="416"/>
      <c r="M29" s="505"/>
      <c r="N29" s="501"/>
      <c r="O29" s="505"/>
      <c r="P29" s="505"/>
      <c r="Q29" s="505"/>
      <c r="R29" s="505"/>
      <c r="S29" s="505"/>
      <c r="T29" s="505"/>
      <c r="U29" s="502"/>
      <c r="V29" s="502">
        <f>'DMF PI Links Physical Prog.S1'!Q29</f>
        <v>5</v>
      </c>
      <c r="W29" s="603"/>
      <c r="X29" s="597">
        <f>'3. DMF Progress'!E13</f>
        <v>16</v>
      </c>
      <c r="Y29" s="602">
        <f>'3. DMF Progress'!F13</f>
        <v>0.8</v>
      </c>
      <c r="Z29" s="654"/>
      <c r="AA29" s="617">
        <f>'3. DMF Progress'!T13</f>
        <v>4.155555555555555</v>
      </c>
      <c r="AB29" s="740">
        <f>'3. DMF Progress'!AN13</f>
        <v>0.20777777777777776</v>
      </c>
      <c r="AC29" s="397" t="s">
        <v>820</v>
      </c>
      <c r="AD29" s="617">
        <f>'3. DMF Progress'!U13</f>
        <v>27.555555555555554</v>
      </c>
      <c r="AE29" s="740">
        <f>'3. DMF Progress'!AO13</f>
        <v>1.3777777777777778</v>
      </c>
      <c r="AF29" s="654">
        <f t="shared" si="3"/>
        <v>0</v>
      </c>
      <c r="AG29" s="617"/>
      <c r="AH29" s="400" t="e">
        <f t="shared" si="0"/>
        <v>#DIV/0!</v>
      </c>
      <c r="AI29" s="397"/>
      <c r="AK29" s="611">
        <f t="shared" si="4"/>
        <v>0</v>
      </c>
      <c r="AL29" s="612">
        <f t="shared" si="4"/>
        <v>20.155555555555555</v>
      </c>
      <c r="AM29" s="688" t="e">
        <f t="shared" si="4"/>
        <v>#DIV/0!</v>
      </c>
    </row>
    <row r="30" spans="1:41" ht="53.25" customHeight="1">
      <c r="A30" s="496"/>
      <c r="B30" s="497" t="s">
        <v>482</v>
      </c>
      <c r="C30" s="497"/>
      <c r="D30" s="497"/>
      <c r="E30" s="529" t="s">
        <v>438</v>
      </c>
      <c r="F30" s="667"/>
      <c r="G30" s="504"/>
      <c r="H30" s="499" t="s">
        <v>660</v>
      </c>
      <c r="I30" s="504"/>
      <c r="J30" s="390" t="s">
        <v>366</v>
      </c>
      <c r="K30" s="390" t="s">
        <v>229</v>
      </c>
      <c r="L30" s="416" t="s">
        <v>440</v>
      </c>
      <c r="M30" s="501">
        <v>700</v>
      </c>
      <c r="N30" s="501">
        <v>1500</v>
      </c>
      <c r="O30" s="505">
        <v>0</v>
      </c>
      <c r="P30" s="505">
        <v>0</v>
      </c>
      <c r="Q30" s="505">
        <v>0</v>
      </c>
      <c r="R30" s="505">
        <f>$M$30+200</f>
        <v>900</v>
      </c>
      <c r="S30" s="505">
        <f>R30+200</f>
        <v>1100</v>
      </c>
      <c r="T30" s="505">
        <f>S30+400</f>
        <v>1500</v>
      </c>
      <c r="U30" s="502"/>
      <c r="V30" s="502"/>
      <c r="W30" s="603"/>
      <c r="X30" s="597"/>
      <c r="Y30" s="602"/>
      <c r="Z30" s="654">
        <f>Q30/4</f>
        <v>0</v>
      </c>
      <c r="AA30" s="617"/>
      <c r="AB30" s="407"/>
      <c r="AC30" s="397"/>
      <c r="AD30" s="617"/>
      <c r="AE30" s="407"/>
      <c r="AF30" s="654">
        <f t="shared" si="3"/>
        <v>0</v>
      </c>
      <c r="AG30" s="617"/>
      <c r="AH30" s="400"/>
      <c r="AI30" s="397"/>
      <c r="AK30" s="611"/>
      <c r="AL30" s="612"/>
      <c r="AM30" s="613"/>
    </row>
    <row r="31" spans="1:41" ht="64.5" customHeight="1">
      <c r="A31" s="496"/>
      <c r="B31" s="497" t="s">
        <v>483</v>
      </c>
      <c r="C31" s="497"/>
      <c r="D31" s="497"/>
      <c r="E31" s="529" t="s">
        <v>439</v>
      </c>
      <c r="F31" s="667"/>
      <c r="G31" s="504"/>
      <c r="H31" s="499" t="s">
        <v>660</v>
      </c>
      <c r="I31" s="504"/>
      <c r="J31" s="390" t="s">
        <v>366</v>
      </c>
      <c r="K31" s="390" t="s">
        <v>229</v>
      </c>
      <c r="L31" s="416" t="s">
        <v>354</v>
      </c>
      <c r="M31" s="505">
        <v>0</v>
      </c>
      <c r="N31" s="501">
        <v>75000</v>
      </c>
      <c r="O31" s="505">
        <v>0</v>
      </c>
      <c r="P31" s="505">
        <v>0</v>
      </c>
      <c r="Q31" s="505">
        <v>0</v>
      </c>
      <c r="R31" s="505">
        <f>$N$31/$N$30*R30</f>
        <v>45000</v>
      </c>
      <c r="S31" s="505">
        <f t="shared" ref="S31:T31" si="5">$N$31/$N$30*S30</f>
        <v>55000</v>
      </c>
      <c r="T31" s="505">
        <f t="shared" si="5"/>
        <v>75000</v>
      </c>
      <c r="U31" s="502"/>
      <c r="V31" s="502"/>
      <c r="W31" s="603"/>
      <c r="X31" s="597"/>
      <c r="Y31" s="602"/>
      <c r="Z31" s="654">
        <f>Q31/4</f>
        <v>0</v>
      </c>
      <c r="AA31" s="617"/>
      <c r="AB31" s="407"/>
      <c r="AC31" s="397"/>
      <c r="AD31" s="617"/>
      <c r="AE31" s="407"/>
      <c r="AF31" s="654">
        <f t="shared" si="3"/>
        <v>0</v>
      </c>
      <c r="AG31" s="617"/>
      <c r="AH31" s="400"/>
      <c r="AI31" s="397"/>
      <c r="AK31" s="611"/>
      <c r="AL31" s="612"/>
      <c r="AM31" s="613"/>
    </row>
    <row r="32" spans="1:41" ht="86.25" customHeight="1">
      <c r="A32" s="496">
        <v>9</v>
      </c>
      <c r="B32" s="497" t="s">
        <v>397</v>
      </c>
      <c r="C32" s="497" t="s">
        <v>418</v>
      </c>
      <c r="D32" s="497"/>
      <c r="E32" s="659" t="s">
        <v>459</v>
      </c>
      <c r="F32" s="668" t="s">
        <v>679</v>
      </c>
      <c r="G32" s="504" t="s">
        <v>521</v>
      </c>
      <c r="H32" s="499" t="s">
        <v>660</v>
      </c>
      <c r="I32" s="504"/>
      <c r="J32" s="390" t="s">
        <v>366</v>
      </c>
      <c r="K32" s="390" t="s">
        <v>229</v>
      </c>
      <c r="L32" s="416"/>
      <c r="M32" s="500"/>
      <c r="N32" s="501"/>
      <c r="O32" s="640"/>
      <c r="P32" s="640"/>
      <c r="Q32" s="640"/>
      <c r="R32" s="640"/>
      <c r="S32" s="640"/>
      <c r="T32" s="640"/>
      <c r="U32" s="502"/>
      <c r="V32" s="502"/>
      <c r="W32" s="603"/>
      <c r="X32" s="597"/>
      <c r="Y32" s="602"/>
      <c r="Z32" s="655"/>
      <c r="AA32" s="617"/>
      <c r="AB32" s="740">
        <f>(AB33+AB35+AB37)</f>
        <v>0.20138666666666666</v>
      </c>
      <c r="AC32" s="397" t="s">
        <v>823</v>
      </c>
      <c r="AD32" s="617"/>
      <c r="AE32" s="740">
        <f>(AE33+AE35+AE37)</f>
        <v>1.1079640663999999</v>
      </c>
      <c r="AF32" s="654">
        <f t="shared" si="3"/>
        <v>0</v>
      </c>
      <c r="AG32" s="617"/>
      <c r="AH32" s="400" t="e">
        <f t="shared" si="0"/>
        <v>#DIV/0!</v>
      </c>
      <c r="AI32" s="397"/>
      <c r="AK32" s="611"/>
      <c r="AL32" s="612"/>
      <c r="AM32" s="613"/>
    </row>
    <row r="33" spans="1:39" ht="35.1" customHeight="1">
      <c r="A33" s="496"/>
      <c r="B33" s="497" t="s">
        <v>484</v>
      </c>
      <c r="C33" s="497" t="s">
        <v>510</v>
      </c>
      <c r="D33" s="497"/>
      <c r="E33" s="529" t="s">
        <v>614</v>
      </c>
      <c r="F33" s="667"/>
      <c r="G33" s="504"/>
      <c r="H33" s="497" t="s">
        <v>474</v>
      </c>
      <c r="I33" s="504"/>
      <c r="J33" s="390" t="s">
        <v>366</v>
      </c>
      <c r="K33" s="390" t="s">
        <v>229</v>
      </c>
      <c r="L33" s="416" t="s">
        <v>441</v>
      </c>
      <c r="M33" s="706" t="s">
        <v>515</v>
      </c>
      <c r="N33" s="501">
        <v>12000</v>
      </c>
      <c r="O33" s="505">
        <v>0</v>
      </c>
      <c r="P33" s="505">
        <v>500</v>
      </c>
      <c r="Q33" s="505">
        <v>1250</v>
      </c>
      <c r="R33" s="505">
        <v>4000</v>
      </c>
      <c r="S33" s="505">
        <v>3500</v>
      </c>
      <c r="T33" s="505">
        <v>1500</v>
      </c>
      <c r="U33" s="502"/>
      <c r="V33" s="502">
        <f>'DMF PI Links Physical Prog.S1'!Q33</f>
        <v>4</v>
      </c>
      <c r="W33" s="603"/>
      <c r="X33" s="597">
        <f>'3. DMF Progress'!E14</f>
        <v>7.07</v>
      </c>
      <c r="Y33" s="602">
        <f>'3. DMF Progress'!F14</f>
        <v>0.2828</v>
      </c>
      <c r="Z33" s="654">
        <f t="shared" ref="Z33:Z39" si="6">Q33/4</f>
        <v>312.5</v>
      </c>
      <c r="AA33" s="617">
        <f>'3. DMF Progress'!T14</f>
        <v>0.18333333333333335</v>
      </c>
      <c r="AB33" s="740">
        <f>'3. DMF Progress'!AN14</f>
        <v>7.3333333333333332E-3</v>
      </c>
      <c r="AC33" s="397"/>
      <c r="AD33" s="617">
        <f>'3. DMF Progress'!U14</f>
        <v>3.85638916</v>
      </c>
      <c r="AE33" s="740">
        <f>'3. DMF Progress'!AO14</f>
        <v>0.15425556639999999</v>
      </c>
      <c r="AF33" s="654">
        <f t="shared" si="3"/>
        <v>625</v>
      </c>
      <c r="AG33" s="617"/>
      <c r="AH33" s="400"/>
      <c r="AI33" s="397"/>
      <c r="AK33" s="611">
        <f>W33+Z33+AF33</f>
        <v>937.5</v>
      </c>
      <c r="AL33" s="612">
        <f>X33+AA33+AG33</f>
        <v>7.2533333333333339</v>
      </c>
      <c r="AM33" s="688">
        <f>Y33+AB33+AH33</f>
        <v>0.29013333333333335</v>
      </c>
    </row>
    <row r="34" spans="1:39" ht="35.1" customHeight="1">
      <c r="A34" s="496"/>
      <c r="B34" s="497"/>
      <c r="C34" s="497"/>
      <c r="D34" s="497"/>
      <c r="E34" s="529" t="s">
        <v>615</v>
      </c>
      <c r="F34" s="667"/>
      <c r="G34" s="504"/>
      <c r="H34" s="499"/>
      <c r="I34" s="504"/>
      <c r="J34" s="390" t="s">
        <v>366</v>
      </c>
      <c r="K34" s="390" t="s">
        <v>229</v>
      </c>
      <c r="L34" s="416" t="s">
        <v>134</v>
      </c>
      <c r="M34" s="501">
        <v>11468</v>
      </c>
      <c r="N34" s="501">
        <v>80000</v>
      </c>
      <c r="O34" s="505">
        <v>0</v>
      </c>
      <c r="P34" s="505">
        <f>($N$34/$N$33)*P33</f>
        <v>3333.3333333333335</v>
      </c>
      <c r="Q34" s="505">
        <f t="shared" ref="Q34:T34" si="7">($N$34/$N$33)*Q33</f>
        <v>8333.3333333333339</v>
      </c>
      <c r="R34" s="505">
        <f t="shared" si="7"/>
        <v>26666.666666666668</v>
      </c>
      <c r="S34" s="505">
        <f t="shared" si="7"/>
        <v>23333.333333333336</v>
      </c>
      <c r="T34" s="505">
        <f t="shared" si="7"/>
        <v>10000</v>
      </c>
      <c r="U34" s="502"/>
      <c r="V34" s="502"/>
      <c r="W34" s="603"/>
      <c r="X34" s="597"/>
      <c r="Y34" s="602"/>
      <c r="Z34" s="654">
        <f t="shared" si="6"/>
        <v>2083.3333333333335</v>
      </c>
      <c r="AA34" s="617"/>
      <c r="AB34" s="407"/>
      <c r="AC34" s="397"/>
      <c r="AD34" s="617"/>
      <c r="AE34" s="407"/>
      <c r="AF34" s="654">
        <f t="shared" si="3"/>
        <v>4166.666666666667</v>
      </c>
      <c r="AG34" s="617"/>
      <c r="AH34" s="400"/>
      <c r="AI34" s="397"/>
      <c r="AK34" s="611"/>
      <c r="AL34" s="612"/>
      <c r="AM34" s="613"/>
    </row>
    <row r="35" spans="1:39" ht="69.75" customHeight="1">
      <c r="A35" s="496"/>
      <c r="B35" s="497" t="s">
        <v>485</v>
      </c>
      <c r="C35" s="497" t="s">
        <v>511</v>
      </c>
      <c r="D35" s="497"/>
      <c r="E35" s="583" t="s">
        <v>616</v>
      </c>
      <c r="F35" s="667"/>
      <c r="G35" s="504"/>
      <c r="H35" s="497" t="s">
        <v>474</v>
      </c>
      <c r="I35" s="504"/>
      <c r="J35" s="390" t="s">
        <v>366</v>
      </c>
      <c r="K35" s="390" t="s">
        <v>229</v>
      </c>
      <c r="L35" s="416" t="s">
        <v>173</v>
      </c>
      <c r="M35" s="706" t="s">
        <v>515</v>
      </c>
      <c r="N35" s="501">
        <v>6000</v>
      </c>
      <c r="O35" s="505">
        <v>0</v>
      </c>
      <c r="P35" s="505">
        <v>250</v>
      </c>
      <c r="Q35" s="505">
        <v>625</v>
      </c>
      <c r="R35" s="505">
        <v>1600</v>
      </c>
      <c r="S35" s="505">
        <v>1600</v>
      </c>
      <c r="T35" s="505">
        <v>1300</v>
      </c>
      <c r="U35" s="502"/>
      <c r="V35" s="502">
        <f>'DMF PI Links Physical Prog.S1'!Q35</f>
        <v>4</v>
      </c>
      <c r="W35" s="603"/>
      <c r="X35" s="597">
        <f>'3. DMF Progress'!E15</f>
        <v>7.47</v>
      </c>
      <c r="Y35" s="602">
        <f>'3. DMF Progress'!F15</f>
        <v>0.29880000000000001</v>
      </c>
      <c r="Z35" s="654">
        <f t="shared" si="6"/>
        <v>156.25</v>
      </c>
      <c r="AA35" s="617">
        <f>'3. DMF Progress'!T15</f>
        <v>0.27333333333333332</v>
      </c>
      <c r="AB35" s="740">
        <f>'3. DMF Progress'!AN15</f>
        <v>1.0933333333333333E-2</v>
      </c>
      <c r="AC35" s="397" t="s">
        <v>824</v>
      </c>
      <c r="AD35" s="617">
        <f>'3. DMF Progress'!U15</f>
        <v>5.1214924999999996</v>
      </c>
      <c r="AE35" s="740">
        <f>'3. DMF Progress'!AO15</f>
        <v>0.20485969999999998</v>
      </c>
      <c r="AF35" s="654">
        <f t="shared" si="3"/>
        <v>312.5</v>
      </c>
      <c r="AG35" s="617"/>
      <c r="AH35" s="400"/>
      <c r="AI35" s="397"/>
      <c r="AK35" s="611">
        <f>W35+Z35+AF35</f>
        <v>468.75</v>
      </c>
      <c r="AL35" s="612">
        <f>X35+AA35+AG35</f>
        <v>7.7433333333333332</v>
      </c>
      <c r="AM35" s="688">
        <f>Y35+AB35+AH35</f>
        <v>0.30973333333333336</v>
      </c>
    </row>
    <row r="36" spans="1:39" ht="33" customHeight="1">
      <c r="A36" s="496"/>
      <c r="B36" s="497"/>
      <c r="C36" s="497"/>
      <c r="D36" s="660" t="s">
        <v>672</v>
      </c>
      <c r="E36" s="583" t="s">
        <v>617</v>
      </c>
      <c r="F36" s="667"/>
      <c r="G36" s="504"/>
      <c r="H36" s="499"/>
      <c r="I36" s="504"/>
      <c r="J36" s="390" t="s">
        <v>366</v>
      </c>
      <c r="K36" s="390" t="s">
        <v>229</v>
      </c>
      <c r="L36" s="416" t="s">
        <v>134</v>
      </c>
      <c r="M36" s="501">
        <v>11468</v>
      </c>
      <c r="N36" s="501">
        <v>20000</v>
      </c>
      <c r="O36" s="505">
        <v>0</v>
      </c>
      <c r="P36" s="505">
        <f>($N$36/$N$35)*P35</f>
        <v>833.33333333333337</v>
      </c>
      <c r="Q36" s="505">
        <v>5000</v>
      </c>
      <c r="R36" s="505">
        <f t="shared" ref="R36:T36" si="8">($N$36/$N$35)*R35</f>
        <v>5333.3333333333339</v>
      </c>
      <c r="S36" s="505">
        <f t="shared" si="8"/>
        <v>5333.3333333333339</v>
      </c>
      <c r="T36" s="505">
        <f t="shared" si="8"/>
        <v>4333.3333333333339</v>
      </c>
      <c r="U36" s="502"/>
      <c r="V36" s="502"/>
      <c r="W36" s="603"/>
      <c r="X36" s="597"/>
      <c r="Y36" s="602"/>
      <c r="Z36" s="654">
        <f t="shared" si="6"/>
        <v>1250</v>
      </c>
      <c r="AA36" s="617"/>
      <c r="AB36" s="407"/>
      <c r="AC36" s="397"/>
      <c r="AD36" s="617"/>
      <c r="AE36" s="407"/>
      <c r="AF36" s="654">
        <f t="shared" si="3"/>
        <v>2500</v>
      </c>
      <c r="AG36" s="617"/>
      <c r="AH36" s="400"/>
      <c r="AI36" s="397"/>
      <c r="AK36" s="611"/>
      <c r="AL36" s="612"/>
      <c r="AM36" s="613"/>
    </row>
    <row r="37" spans="1:39" ht="113.25" customHeight="1">
      <c r="A37" s="496"/>
      <c r="B37" s="497" t="s">
        <v>486</v>
      </c>
      <c r="C37" s="497" t="s">
        <v>512</v>
      </c>
      <c r="D37" s="497"/>
      <c r="E37" s="507" t="s">
        <v>825</v>
      </c>
      <c r="F37" s="668"/>
      <c r="G37" s="498" t="s">
        <v>521</v>
      </c>
      <c r="H37" s="497" t="s">
        <v>474</v>
      </c>
      <c r="I37" s="504"/>
      <c r="J37" s="390" t="s">
        <v>366</v>
      </c>
      <c r="K37" s="390" t="s">
        <v>229</v>
      </c>
      <c r="L37" s="416"/>
      <c r="M37" s="500" t="s">
        <v>515</v>
      </c>
      <c r="N37" s="501">
        <v>20000</v>
      </c>
      <c r="O37" s="640">
        <f>SUM(O38:O39)</f>
        <v>0</v>
      </c>
      <c r="P37" s="640">
        <v>2500</v>
      </c>
      <c r="Q37" s="505">
        <v>5000</v>
      </c>
      <c r="R37" s="640">
        <v>9500</v>
      </c>
      <c r="S37" s="640">
        <v>3000</v>
      </c>
      <c r="T37" s="640">
        <v>0</v>
      </c>
      <c r="U37" s="502"/>
      <c r="V37" s="502">
        <f>'DMF PI Links Physical Prog.S1'!Q37</f>
        <v>2</v>
      </c>
      <c r="W37" s="603"/>
      <c r="X37" s="597">
        <f>'3. DMF Progress'!E16</f>
        <v>0.7</v>
      </c>
      <c r="Y37" s="602">
        <f>'3. DMF Progress'!F16</f>
        <v>1.3999999999999999E-2</v>
      </c>
      <c r="Z37" s="654">
        <f t="shared" si="6"/>
        <v>1250</v>
      </c>
      <c r="AA37" s="617">
        <f>'3. DMF Progress'!T16</f>
        <v>9.1560000000000006</v>
      </c>
      <c r="AB37" s="740">
        <f>'3. DMF Progress'!AN16</f>
        <v>0.18312</v>
      </c>
      <c r="AC37" s="397" t="s">
        <v>826</v>
      </c>
      <c r="AD37" s="617">
        <f>'3. DMF Progress'!U16</f>
        <v>37.442440000000005</v>
      </c>
      <c r="AE37" s="740">
        <f>'3. DMF Progress'!AO16</f>
        <v>0.74884879999999998</v>
      </c>
      <c r="AF37" s="654">
        <f t="shared" si="3"/>
        <v>2500</v>
      </c>
      <c r="AG37" s="617"/>
      <c r="AH37" s="400"/>
      <c r="AI37" s="397"/>
      <c r="AK37" s="611">
        <f>W37+Z37+AF37</f>
        <v>3750</v>
      </c>
      <c r="AL37" s="612">
        <f>X37+AA37+AG37</f>
        <v>9.8559999999999999</v>
      </c>
      <c r="AM37" s="688">
        <f>Y37+AB37+AH37</f>
        <v>0.19712000000000002</v>
      </c>
    </row>
    <row r="38" spans="1:39" ht="73.5" customHeight="1">
      <c r="A38" s="496"/>
      <c r="B38" s="497" t="s">
        <v>486</v>
      </c>
      <c r="C38" s="497" t="s">
        <v>513</v>
      </c>
      <c r="D38" s="660" t="s">
        <v>672</v>
      </c>
      <c r="E38" s="529" t="s">
        <v>628</v>
      </c>
      <c r="F38" s="667"/>
      <c r="G38" s="504"/>
      <c r="H38" s="499"/>
      <c r="I38" s="504"/>
      <c r="J38" s="390" t="s">
        <v>366</v>
      </c>
      <c r="K38" s="390" t="s">
        <v>229</v>
      </c>
      <c r="L38" s="416" t="s">
        <v>134</v>
      </c>
      <c r="M38" s="501">
        <v>11468</v>
      </c>
      <c r="N38" s="501">
        <v>20000</v>
      </c>
      <c r="O38" s="505">
        <v>0</v>
      </c>
      <c r="P38" s="505">
        <f>P37/2</f>
        <v>1250</v>
      </c>
      <c r="Q38" s="505">
        <f>Q37/2</f>
        <v>2500</v>
      </c>
      <c r="R38" s="505">
        <f t="shared" ref="R38:T38" si="9">R37/2</f>
        <v>4750</v>
      </c>
      <c r="S38" s="505">
        <f t="shared" si="9"/>
        <v>1500</v>
      </c>
      <c r="T38" s="505">
        <f t="shared" si="9"/>
        <v>0</v>
      </c>
      <c r="U38" s="502"/>
      <c r="V38" s="502"/>
      <c r="W38" s="603"/>
      <c r="X38" s="597"/>
      <c r="Y38" s="602"/>
      <c r="Z38" s="654">
        <f t="shared" si="6"/>
        <v>625</v>
      </c>
      <c r="AA38" s="617"/>
      <c r="AB38" s="407"/>
      <c r="AC38" s="397"/>
      <c r="AD38" s="617"/>
      <c r="AE38" s="407"/>
      <c r="AF38" s="654">
        <f t="shared" si="3"/>
        <v>1250</v>
      </c>
      <c r="AG38" s="617"/>
      <c r="AH38" s="400"/>
      <c r="AI38" s="397"/>
      <c r="AK38" s="611"/>
      <c r="AL38" s="612"/>
      <c r="AM38" s="613"/>
    </row>
    <row r="39" spans="1:39" ht="66.75" customHeight="1">
      <c r="A39" s="496"/>
      <c r="B39" s="497" t="s">
        <v>487</v>
      </c>
      <c r="C39" s="497" t="s">
        <v>514</v>
      </c>
      <c r="D39" s="660" t="s">
        <v>672</v>
      </c>
      <c r="E39" s="529" t="s">
        <v>629</v>
      </c>
      <c r="F39" s="667"/>
      <c r="G39" s="504"/>
      <c r="H39" s="499"/>
      <c r="I39" s="504"/>
      <c r="J39" s="390" t="s">
        <v>366</v>
      </c>
      <c r="K39" s="390" t="s">
        <v>229</v>
      </c>
      <c r="L39" s="416" t="s">
        <v>435</v>
      </c>
      <c r="M39" s="501">
        <v>11468</v>
      </c>
      <c r="N39" s="501">
        <v>20000</v>
      </c>
      <c r="O39" s="505">
        <v>0</v>
      </c>
      <c r="P39" s="505">
        <f>P37/2</f>
        <v>1250</v>
      </c>
      <c r="Q39" s="505">
        <f t="shared" ref="Q39:T39" si="10">Q37/2</f>
        <v>2500</v>
      </c>
      <c r="R39" s="505">
        <f t="shared" si="10"/>
        <v>4750</v>
      </c>
      <c r="S39" s="505">
        <f t="shared" si="10"/>
        <v>1500</v>
      </c>
      <c r="T39" s="505">
        <f t="shared" si="10"/>
        <v>0</v>
      </c>
      <c r="U39" s="502"/>
      <c r="V39" s="502"/>
      <c r="W39" s="603"/>
      <c r="X39" s="597"/>
      <c r="Y39" s="602"/>
      <c r="Z39" s="654">
        <f t="shared" si="6"/>
        <v>625</v>
      </c>
      <c r="AA39" s="617"/>
      <c r="AB39" s="407"/>
      <c r="AC39" s="397"/>
      <c r="AD39" s="617"/>
      <c r="AE39" s="407"/>
      <c r="AF39" s="654">
        <f t="shared" si="3"/>
        <v>1250</v>
      </c>
      <c r="AG39" s="617"/>
      <c r="AH39" s="400"/>
      <c r="AI39" s="397"/>
      <c r="AK39" s="611"/>
      <c r="AL39" s="612"/>
      <c r="AM39" s="613"/>
    </row>
    <row r="40" spans="1:39" s="572" customFormat="1" ht="33" customHeight="1">
      <c r="A40" s="559"/>
      <c r="B40" s="560" t="s">
        <v>388</v>
      </c>
      <c r="C40" s="560">
        <v>2</v>
      </c>
      <c r="D40" s="560"/>
      <c r="E40" s="561" t="s">
        <v>398</v>
      </c>
      <c r="F40" s="562"/>
      <c r="G40" s="563"/>
      <c r="H40" s="564"/>
      <c r="I40" s="563"/>
      <c r="J40" s="565"/>
      <c r="K40" s="565"/>
      <c r="L40" s="566"/>
      <c r="M40" s="567"/>
      <c r="N40" s="568"/>
      <c r="O40" s="614"/>
      <c r="P40" s="614"/>
      <c r="Q40" s="614"/>
      <c r="R40" s="614"/>
      <c r="S40" s="614"/>
      <c r="T40" s="614"/>
      <c r="U40" s="615"/>
      <c r="V40" s="569">
        <f>'DMF PI Links Physical Prog.S1'!Q40</f>
        <v>20</v>
      </c>
      <c r="W40" s="662"/>
      <c r="X40" s="569">
        <f>'3. DMF Progress'!AF25</f>
        <v>2.0031597222222222</v>
      </c>
      <c r="Y40" s="569">
        <f>'3. DMF Progress'!F25</f>
        <v>2.9565000000000001</v>
      </c>
      <c r="Z40" s="627"/>
      <c r="AA40" s="569">
        <f>'3. DMF Progress'!T25</f>
        <v>44.797623456790134</v>
      </c>
      <c r="AB40" s="569">
        <f>'3. DMF Progress'!AN25</f>
        <v>1.6064252046783625</v>
      </c>
      <c r="AC40" s="562"/>
      <c r="AD40" s="569">
        <f>'3. DMF Progress'!U25</f>
        <v>206.25085708252109</v>
      </c>
      <c r="AE40" s="569">
        <f>'3. DMF Progress'!AO25</f>
        <v>8.5545366812865495</v>
      </c>
      <c r="AF40" s="627"/>
      <c r="AG40" s="628"/>
      <c r="AH40" s="630"/>
      <c r="AI40" s="562"/>
      <c r="AK40" s="611"/>
      <c r="AL40" s="689">
        <f>X40+AA40+AG40</f>
        <v>46.800783179012356</v>
      </c>
      <c r="AM40" s="689">
        <f>Y40+AB40+AH40</f>
        <v>4.562925204678363</v>
      </c>
    </row>
    <row r="41" spans="1:39" ht="61.5" customHeight="1">
      <c r="A41" s="496">
        <v>10</v>
      </c>
      <c r="B41" s="497" t="s">
        <v>399</v>
      </c>
      <c r="C41" s="497" t="s">
        <v>419</v>
      </c>
      <c r="D41" s="497"/>
      <c r="E41" s="531" t="s">
        <v>400</v>
      </c>
      <c r="F41" s="668" t="s">
        <v>679</v>
      </c>
      <c r="G41" s="504" t="s">
        <v>522</v>
      </c>
      <c r="H41" s="499" t="s">
        <v>660</v>
      </c>
      <c r="I41" s="504"/>
      <c r="J41" s="390" t="s">
        <v>366</v>
      </c>
      <c r="K41" s="390" t="s">
        <v>229</v>
      </c>
      <c r="L41" s="416" t="s">
        <v>100</v>
      </c>
      <c r="M41" s="505">
        <v>0</v>
      </c>
      <c r="N41" s="641">
        <f>SUM(N42:N43)</f>
        <v>3</v>
      </c>
      <c r="O41" s="640">
        <f t="shared" ref="O41:T41" si="11">SUM(O42:O43)</f>
        <v>0</v>
      </c>
      <c r="P41" s="640">
        <f>SUM(P42:P43)</f>
        <v>0</v>
      </c>
      <c r="Q41" s="640">
        <f t="shared" si="11"/>
        <v>0</v>
      </c>
      <c r="R41" s="640">
        <f t="shared" si="11"/>
        <v>3</v>
      </c>
      <c r="S41" s="640">
        <f t="shared" si="11"/>
        <v>0</v>
      </c>
      <c r="T41" s="640">
        <f t="shared" si="11"/>
        <v>0</v>
      </c>
      <c r="U41" s="502"/>
      <c r="V41" s="502">
        <f>'DMF PI Links Physical Prog.S1'!Q41</f>
        <v>5</v>
      </c>
      <c r="W41" s="603"/>
      <c r="X41" s="597">
        <f>'3. DMF Progress'!E19</f>
        <v>6.25</v>
      </c>
      <c r="Y41" s="602">
        <f>'3. DMF Progress'!F19</f>
        <v>0.3125</v>
      </c>
      <c r="Z41" s="654">
        <f t="shared" ref="Z41:Z49" si="12">Q41/4</f>
        <v>0</v>
      </c>
      <c r="AA41" s="617">
        <f>'3. DMF Progress'!T19</f>
        <v>1.6041666666666665</v>
      </c>
      <c r="AB41" s="740">
        <f>'3. DMF Progress'!AN19</f>
        <v>7.9847500000000016E-2</v>
      </c>
      <c r="AC41" s="397" t="s">
        <v>864</v>
      </c>
      <c r="AD41" s="617">
        <f>'3. DMF Progress'!U19</f>
        <v>8.7273666666666667</v>
      </c>
      <c r="AE41" s="740">
        <f>'3. DMF Progress'!AO19</f>
        <v>0.59678500000000012</v>
      </c>
      <c r="AF41" s="654">
        <f t="shared" ref="AF41:AF53" si="13">Q41/2</f>
        <v>0</v>
      </c>
      <c r="AG41" s="617"/>
      <c r="AH41" s="400" t="e">
        <f t="shared" si="0"/>
        <v>#DIV/0!</v>
      </c>
      <c r="AI41" s="397"/>
      <c r="AK41" s="611">
        <f>W41+Z41+AF41</f>
        <v>0</v>
      </c>
      <c r="AL41" s="612">
        <f>X41+AA41+AG41</f>
        <v>7.8541666666666661</v>
      </c>
      <c r="AM41" s="688" t="e">
        <f>Y41+AB41+AH41</f>
        <v>#DIV/0!</v>
      </c>
    </row>
    <row r="42" spans="1:39" ht="103.5" customHeight="1">
      <c r="A42" s="496"/>
      <c r="B42" s="497" t="s">
        <v>488</v>
      </c>
      <c r="C42" s="497"/>
      <c r="D42" s="497"/>
      <c r="E42" s="529" t="s">
        <v>631</v>
      </c>
      <c r="F42" s="667"/>
      <c r="G42" s="504"/>
      <c r="H42" s="499"/>
      <c r="I42" s="504"/>
      <c r="J42" s="390" t="s">
        <v>366</v>
      </c>
      <c r="K42" s="390" t="s">
        <v>229</v>
      </c>
      <c r="L42" s="416" t="s">
        <v>100</v>
      </c>
      <c r="M42" s="505">
        <v>0</v>
      </c>
      <c r="N42" s="501">
        <v>2</v>
      </c>
      <c r="O42" s="505">
        <v>0</v>
      </c>
      <c r="P42" s="505">
        <v>0</v>
      </c>
      <c r="Q42" s="505">
        <v>0</v>
      </c>
      <c r="R42" s="505">
        <v>2</v>
      </c>
      <c r="S42" s="505">
        <v>0</v>
      </c>
      <c r="T42" s="505">
        <v>0</v>
      </c>
      <c r="U42" s="502"/>
      <c r="V42" s="502"/>
      <c r="W42" s="603"/>
      <c r="X42" s="597"/>
      <c r="Y42" s="602"/>
      <c r="Z42" s="654">
        <f t="shared" si="12"/>
        <v>0</v>
      </c>
      <c r="AA42" s="617"/>
      <c r="AB42" s="740">
        <f>'Output 2 '!CV9</f>
        <v>0</v>
      </c>
      <c r="AC42" s="397" t="s">
        <v>866</v>
      </c>
      <c r="AD42" s="617"/>
      <c r="AE42" s="740">
        <f>'Output 2 '!DD9</f>
        <v>0</v>
      </c>
      <c r="AF42" s="654">
        <f t="shared" si="13"/>
        <v>0</v>
      </c>
      <c r="AG42" s="617"/>
      <c r="AH42" s="400"/>
      <c r="AI42" s="397"/>
      <c r="AK42" s="611"/>
      <c r="AL42" s="612"/>
      <c r="AM42" s="613"/>
    </row>
    <row r="43" spans="1:39" ht="58.5" customHeight="1">
      <c r="A43" s="496"/>
      <c r="B43" s="497" t="s">
        <v>489</v>
      </c>
      <c r="C43" s="497"/>
      <c r="D43" s="497"/>
      <c r="E43" s="529" t="s">
        <v>632</v>
      </c>
      <c r="F43" s="667"/>
      <c r="G43" s="504"/>
      <c r="H43" s="499"/>
      <c r="I43" s="504"/>
      <c r="J43" s="390" t="s">
        <v>366</v>
      </c>
      <c r="K43" s="390" t="s">
        <v>229</v>
      </c>
      <c r="L43" s="416" t="s">
        <v>100</v>
      </c>
      <c r="M43" s="505">
        <v>0</v>
      </c>
      <c r="N43" s="501">
        <v>1</v>
      </c>
      <c r="O43" s="505">
        <v>0</v>
      </c>
      <c r="P43" s="505">
        <v>0</v>
      </c>
      <c r="Q43" s="505">
        <v>0</v>
      </c>
      <c r="R43" s="505">
        <v>1</v>
      </c>
      <c r="S43" s="505">
        <v>0</v>
      </c>
      <c r="T43" s="505">
        <v>0</v>
      </c>
      <c r="U43" s="502"/>
      <c r="V43" s="502"/>
      <c r="W43" s="603"/>
      <c r="X43" s="597"/>
      <c r="Y43" s="602"/>
      <c r="Z43" s="654">
        <f t="shared" si="12"/>
        <v>0</v>
      </c>
      <c r="AA43" s="617"/>
      <c r="AB43" s="740">
        <f>'Output 2 '!CV10</f>
        <v>0</v>
      </c>
      <c r="AC43" s="397" t="s">
        <v>865</v>
      </c>
      <c r="AD43" s="617"/>
      <c r="AE43" s="740">
        <f>'Output 2 '!DD10</f>
        <v>0</v>
      </c>
      <c r="AF43" s="654">
        <f t="shared" si="13"/>
        <v>0</v>
      </c>
      <c r="AG43" s="617"/>
      <c r="AH43" s="400"/>
      <c r="AI43" s="397"/>
      <c r="AK43" s="611"/>
      <c r="AL43" s="612"/>
      <c r="AM43" s="613"/>
    </row>
    <row r="44" spans="1:39" ht="129" customHeight="1">
      <c r="A44" s="496">
        <v>11</v>
      </c>
      <c r="B44" s="497" t="s">
        <v>403</v>
      </c>
      <c r="C44" s="497" t="s">
        <v>420</v>
      </c>
      <c r="D44" s="497"/>
      <c r="E44" s="528" t="s">
        <v>401</v>
      </c>
      <c r="F44" s="668" t="s">
        <v>679</v>
      </c>
      <c r="G44" s="504" t="s">
        <v>523</v>
      </c>
      <c r="H44" s="499" t="s">
        <v>660</v>
      </c>
      <c r="I44" s="504"/>
      <c r="J44" s="390" t="s">
        <v>366</v>
      </c>
      <c r="K44" s="390" t="s">
        <v>229</v>
      </c>
      <c r="L44" s="416"/>
      <c r="M44" s="500" t="s">
        <v>515</v>
      </c>
      <c r="N44" s="501">
        <f>SUM(N45:N46)</f>
        <v>40000</v>
      </c>
      <c r="O44" s="505">
        <v>0</v>
      </c>
      <c r="P44" s="505">
        <v>2500</v>
      </c>
      <c r="Q44" s="505">
        <f>Q45+Q46+Q47+Q48+Q49</f>
        <v>19172</v>
      </c>
      <c r="R44" s="505">
        <v>9500</v>
      </c>
      <c r="S44" s="505">
        <v>9000</v>
      </c>
      <c r="T44" s="505">
        <v>9000</v>
      </c>
      <c r="U44" s="502"/>
      <c r="V44" s="502">
        <f>'DMF PI Links Physical Prog.S1'!Q44</f>
        <v>5</v>
      </c>
      <c r="W44" s="603"/>
      <c r="X44" s="597">
        <f>'3. DMF Progress'!E20</f>
        <v>16.98</v>
      </c>
      <c r="Y44" s="602">
        <f>'3. DMF Progress'!F20</f>
        <v>0.84900000000000009</v>
      </c>
      <c r="Z44" s="654">
        <f t="shared" si="12"/>
        <v>4793</v>
      </c>
      <c r="AA44" s="617">
        <f>'3. DMF Progress'!T20</f>
        <v>1.4533333333333336</v>
      </c>
      <c r="AB44" s="740">
        <f>'3. DMF Progress'!AN20</f>
        <v>1.0024388157894735</v>
      </c>
      <c r="AC44" s="397" t="s">
        <v>829</v>
      </c>
      <c r="AD44" s="617">
        <f>'3. DMF Progress'!U20</f>
        <v>35.24447807017544</v>
      </c>
      <c r="AE44" s="740">
        <f>'3. DMF Progress'!AO20</f>
        <v>1.9075572368421052</v>
      </c>
      <c r="AF44" s="654">
        <f t="shared" si="13"/>
        <v>9586</v>
      </c>
      <c r="AG44" s="617"/>
      <c r="AH44" s="400">
        <f t="shared" si="0"/>
        <v>0</v>
      </c>
      <c r="AI44" s="397"/>
      <c r="AK44" s="611">
        <f>W44+Z44+AF44</f>
        <v>14379</v>
      </c>
      <c r="AL44" s="612">
        <f>X44+AA44+AG44</f>
        <v>18.433333333333334</v>
      </c>
      <c r="AM44" s="688">
        <f>Y44+AB44+AH44</f>
        <v>1.8514388157894737</v>
      </c>
    </row>
    <row r="45" spans="1:39" ht="54.75" customHeight="1">
      <c r="A45" s="496"/>
      <c r="B45" s="497" t="s">
        <v>490</v>
      </c>
      <c r="C45" s="497"/>
      <c r="D45" s="497"/>
      <c r="E45" s="529" t="s">
        <v>618</v>
      </c>
      <c r="F45" s="667"/>
      <c r="G45" s="504"/>
      <c r="H45" s="499"/>
      <c r="I45" s="504"/>
      <c r="J45" s="390"/>
      <c r="K45" s="390"/>
      <c r="L45" s="416" t="s">
        <v>134</v>
      </c>
      <c r="M45" s="500" t="s">
        <v>515</v>
      </c>
      <c r="N45" s="501">
        <v>20000</v>
      </c>
      <c r="O45" s="505">
        <v>0</v>
      </c>
      <c r="P45" s="505">
        <v>501</v>
      </c>
      <c r="Q45" s="505">
        <v>5800</v>
      </c>
      <c r="R45" s="505">
        <v>5000</v>
      </c>
      <c r="S45" s="505">
        <v>5000</v>
      </c>
      <c r="T45" s="505">
        <f>(T44/2)-1</f>
        <v>4499</v>
      </c>
      <c r="U45" s="502"/>
      <c r="V45" s="502"/>
      <c r="W45" s="603"/>
      <c r="X45" s="597"/>
      <c r="Y45" s="602"/>
      <c r="Z45" s="654">
        <f t="shared" si="12"/>
        <v>1450</v>
      </c>
      <c r="AA45" s="617"/>
      <c r="AB45" s="740">
        <f>'Output 2 '!CV26</f>
        <v>0.11</v>
      </c>
      <c r="AC45" s="397" t="s">
        <v>827</v>
      </c>
      <c r="AD45" s="617"/>
      <c r="AE45" s="740">
        <f>'Output 2 '!DD26</f>
        <v>0.83291666666666675</v>
      </c>
      <c r="AF45" s="654">
        <f t="shared" si="13"/>
        <v>2900</v>
      </c>
      <c r="AG45" s="617"/>
      <c r="AH45" s="400"/>
      <c r="AI45" s="397"/>
      <c r="AK45" s="611"/>
      <c r="AL45" s="612"/>
      <c r="AM45" s="613"/>
    </row>
    <row r="46" spans="1:39" ht="54.75" customHeight="1">
      <c r="A46" s="496"/>
      <c r="B46" s="497" t="s">
        <v>491</v>
      </c>
      <c r="C46" s="497"/>
      <c r="D46" s="660" t="s">
        <v>672</v>
      </c>
      <c r="E46" s="529" t="s">
        <v>619</v>
      </c>
      <c r="F46" s="667"/>
      <c r="G46" s="504"/>
      <c r="H46" s="499"/>
      <c r="I46" s="504"/>
      <c r="J46" s="390"/>
      <c r="K46" s="390"/>
      <c r="L46" s="416" t="s">
        <v>134</v>
      </c>
      <c r="M46" s="500" t="s">
        <v>515</v>
      </c>
      <c r="N46" s="501">
        <v>20000</v>
      </c>
      <c r="O46" s="505">
        <v>0</v>
      </c>
      <c r="P46" s="505">
        <v>250</v>
      </c>
      <c r="Q46" s="505">
        <v>7893</v>
      </c>
      <c r="R46" s="505">
        <f t="shared" ref="R46:T46" si="14">4000+(4000-250)/4</f>
        <v>4937.5</v>
      </c>
      <c r="S46" s="505">
        <f t="shared" si="14"/>
        <v>4937.5</v>
      </c>
      <c r="T46" s="505">
        <f t="shared" si="14"/>
        <v>4937.5</v>
      </c>
      <c r="U46" s="502"/>
      <c r="V46" s="502"/>
      <c r="W46" s="603"/>
      <c r="X46" s="597"/>
      <c r="Y46" s="602"/>
      <c r="Z46" s="654">
        <f t="shared" si="12"/>
        <v>1973.25</v>
      </c>
      <c r="AA46" s="617"/>
      <c r="AB46" s="407"/>
      <c r="AC46" s="397" t="s">
        <v>828</v>
      </c>
      <c r="AD46" s="617"/>
      <c r="AE46" s="407"/>
      <c r="AF46" s="654">
        <f t="shared" si="13"/>
        <v>3946.5</v>
      </c>
      <c r="AG46" s="617"/>
      <c r="AH46" s="400"/>
      <c r="AI46" s="397"/>
      <c r="AK46" s="611"/>
      <c r="AL46" s="612"/>
      <c r="AM46" s="613"/>
    </row>
    <row r="47" spans="1:39" ht="51" customHeight="1">
      <c r="A47" s="496"/>
      <c r="B47" s="497" t="s">
        <v>492</v>
      </c>
      <c r="C47" s="497"/>
      <c r="D47" s="497"/>
      <c r="E47" s="529" t="s">
        <v>620</v>
      </c>
      <c r="F47" s="667"/>
      <c r="G47" s="504"/>
      <c r="H47" s="499"/>
      <c r="I47" s="504"/>
      <c r="J47" s="390"/>
      <c r="K47" s="390"/>
      <c r="L47" s="416" t="s">
        <v>134</v>
      </c>
      <c r="M47" s="505">
        <v>0</v>
      </c>
      <c r="N47" s="501">
        <f>50%*(N46+N45)</f>
        <v>20000</v>
      </c>
      <c r="O47" s="505">
        <v>0</v>
      </c>
      <c r="P47" s="505">
        <v>875</v>
      </c>
      <c r="Q47" s="505">
        <v>5250</v>
      </c>
      <c r="R47" s="505">
        <f t="shared" ref="R47:T47" si="15">4000+(4000-$P$47)/4</f>
        <v>4781.25</v>
      </c>
      <c r="S47" s="505">
        <f t="shared" si="15"/>
        <v>4781.25</v>
      </c>
      <c r="T47" s="505">
        <f t="shared" si="15"/>
        <v>4781.25</v>
      </c>
      <c r="U47" s="502"/>
      <c r="V47" s="502"/>
      <c r="W47" s="603"/>
      <c r="X47" s="597"/>
      <c r="Y47" s="602"/>
      <c r="Z47" s="654">
        <f t="shared" si="12"/>
        <v>1312.5</v>
      </c>
      <c r="AA47" s="617"/>
      <c r="AB47" s="740">
        <f>'Output 2 '!CV27</f>
        <v>0.30199999999999999</v>
      </c>
      <c r="AC47" s="397" t="s">
        <v>827</v>
      </c>
      <c r="AD47" s="617"/>
      <c r="AE47" s="740">
        <f>'Output 2 '!DD27</f>
        <v>0.40200000000000002</v>
      </c>
      <c r="AF47" s="654">
        <f t="shared" si="13"/>
        <v>2625</v>
      </c>
      <c r="AG47" s="617"/>
      <c r="AH47" s="400"/>
      <c r="AI47" s="397"/>
      <c r="AK47" s="611"/>
      <c r="AL47" s="612"/>
      <c r="AM47" s="613"/>
    </row>
    <row r="48" spans="1:39" ht="41.25" customHeight="1">
      <c r="A48" s="496"/>
      <c r="B48" s="497"/>
      <c r="C48" s="497"/>
      <c r="D48" s="633" t="s">
        <v>676</v>
      </c>
      <c r="E48" s="529" t="s">
        <v>667</v>
      </c>
      <c r="F48" s="667"/>
      <c r="G48" s="504"/>
      <c r="H48" s="499"/>
      <c r="I48" s="504"/>
      <c r="J48" s="390"/>
      <c r="K48" s="390"/>
      <c r="L48" s="416"/>
      <c r="M48" s="500" t="s">
        <v>515</v>
      </c>
      <c r="N48" s="501">
        <v>500</v>
      </c>
      <c r="O48" s="505">
        <v>0</v>
      </c>
      <c r="P48" s="505">
        <v>250</v>
      </c>
      <c r="Q48" s="505">
        <v>120</v>
      </c>
      <c r="R48" s="505">
        <v>0</v>
      </c>
      <c r="S48" s="505">
        <v>0</v>
      </c>
      <c r="T48" s="505">
        <v>0</v>
      </c>
      <c r="U48" s="502"/>
      <c r="V48" s="502"/>
      <c r="W48" s="603"/>
      <c r="X48" s="597"/>
      <c r="Y48" s="602"/>
      <c r="Z48" s="654">
        <f t="shared" si="12"/>
        <v>30</v>
      </c>
      <c r="AA48" s="617"/>
      <c r="AB48" s="740">
        <f>'Output 2 '!CV25</f>
        <v>0.6</v>
      </c>
      <c r="AC48" s="397" t="s">
        <v>827</v>
      </c>
      <c r="AD48" s="617"/>
      <c r="AE48" s="740">
        <f>'Output 2 '!DD25</f>
        <v>1.2899999999999998</v>
      </c>
      <c r="AF48" s="654">
        <f t="shared" si="13"/>
        <v>60</v>
      </c>
      <c r="AG48" s="617"/>
      <c r="AH48" s="400"/>
      <c r="AI48" s="397"/>
      <c r="AK48" s="611"/>
      <c r="AL48" s="612"/>
      <c r="AM48" s="613"/>
    </row>
    <row r="49" spans="1:39" ht="51" customHeight="1">
      <c r="A49" s="496"/>
      <c r="B49" s="497"/>
      <c r="C49" s="497"/>
      <c r="D49" s="633" t="s">
        <v>676</v>
      </c>
      <c r="E49" s="529" t="s">
        <v>699</v>
      </c>
      <c r="F49" s="667"/>
      <c r="G49" s="504"/>
      <c r="H49" s="499"/>
      <c r="I49" s="504"/>
      <c r="J49" s="390"/>
      <c r="K49" s="390"/>
      <c r="L49" s="416"/>
      <c r="M49" s="500" t="s">
        <v>515</v>
      </c>
      <c r="N49" s="501">
        <f>20%*N44</f>
        <v>8000</v>
      </c>
      <c r="O49" s="505">
        <v>0</v>
      </c>
      <c r="P49" s="505">
        <v>496</v>
      </c>
      <c r="Q49" s="505">
        <v>109</v>
      </c>
      <c r="R49" s="505">
        <v>2000</v>
      </c>
      <c r="S49" s="505">
        <v>2000</v>
      </c>
      <c r="T49" s="505">
        <f>2000-872</f>
        <v>1128</v>
      </c>
      <c r="U49" s="502"/>
      <c r="V49" s="502"/>
      <c r="W49" s="603"/>
      <c r="X49" s="597"/>
      <c r="Y49" s="602"/>
      <c r="Z49" s="654">
        <f t="shared" si="12"/>
        <v>27.25</v>
      </c>
      <c r="AA49" s="617"/>
      <c r="AB49" s="740">
        <f>'Output 2 '!CV28</f>
        <v>8.0526315789473682E-2</v>
      </c>
      <c r="AC49" s="397" t="s">
        <v>828</v>
      </c>
      <c r="AD49" s="617"/>
      <c r="AE49" s="740">
        <f>'Output 2 '!DD28</f>
        <v>0.27789473684210531</v>
      </c>
      <c r="AF49" s="654">
        <f t="shared" si="13"/>
        <v>54.5</v>
      </c>
      <c r="AG49" s="617"/>
      <c r="AH49" s="400"/>
      <c r="AI49" s="397"/>
      <c r="AK49" s="611"/>
      <c r="AL49" s="612"/>
      <c r="AM49" s="613"/>
    </row>
    <row r="50" spans="1:39" ht="66" customHeight="1">
      <c r="A50" s="496">
        <v>12</v>
      </c>
      <c r="B50" s="497" t="s">
        <v>404</v>
      </c>
      <c r="C50" s="497" t="s">
        <v>442</v>
      </c>
      <c r="D50" s="497"/>
      <c r="E50" s="528" t="s">
        <v>835</v>
      </c>
      <c r="F50" s="668" t="s">
        <v>679</v>
      </c>
      <c r="G50" s="504" t="s">
        <v>524</v>
      </c>
      <c r="H50" s="499" t="s">
        <v>660</v>
      </c>
      <c r="I50" s="504"/>
      <c r="J50" s="390" t="s">
        <v>366</v>
      </c>
      <c r="K50" s="390" t="s">
        <v>229</v>
      </c>
      <c r="L50" s="416" t="s">
        <v>188</v>
      </c>
      <c r="M50" s="505">
        <v>0</v>
      </c>
      <c r="N50" s="501"/>
      <c r="O50" s="640"/>
      <c r="P50" s="640"/>
      <c r="Q50" s="640"/>
      <c r="R50" s="640"/>
      <c r="S50" s="640"/>
      <c r="T50" s="640"/>
      <c r="U50" s="502"/>
      <c r="V50" s="502">
        <f>SUM(V51:V52)</f>
        <v>6</v>
      </c>
      <c r="W50" s="603"/>
      <c r="X50" s="597"/>
      <c r="Y50" s="602"/>
      <c r="Z50" s="654"/>
      <c r="AA50" s="617"/>
      <c r="AB50" s="740">
        <f>SUM(AB51:AB52)/2</f>
        <v>0.1074861111111111</v>
      </c>
      <c r="AC50" s="397" t="s">
        <v>838</v>
      </c>
      <c r="AD50" s="617"/>
      <c r="AE50" s="740">
        <f>SUM(AE51:AE52)/2</f>
        <v>1.7025138888888889</v>
      </c>
      <c r="AF50" s="654">
        <f t="shared" si="13"/>
        <v>0</v>
      </c>
      <c r="AG50" s="617"/>
      <c r="AH50" s="400" t="e">
        <f t="shared" si="0"/>
        <v>#DIV/0!</v>
      </c>
      <c r="AI50" s="397"/>
      <c r="AK50" s="611"/>
      <c r="AL50" s="612"/>
      <c r="AM50" s="613"/>
    </row>
    <row r="51" spans="1:39" ht="105" customHeight="1">
      <c r="A51" s="496"/>
      <c r="B51" s="497" t="s">
        <v>493</v>
      </c>
      <c r="C51" s="497" t="s">
        <v>685</v>
      </c>
      <c r="D51" s="497"/>
      <c r="E51" s="529" t="s">
        <v>680</v>
      </c>
      <c r="F51" s="667"/>
      <c r="G51" s="504" t="s">
        <v>681</v>
      </c>
      <c r="H51" s="499"/>
      <c r="I51" s="504"/>
      <c r="J51" s="390" t="s">
        <v>366</v>
      </c>
      <c r="K51" s="390" t="s">
        <v>229</v>
      </c>
      <c r="L51" s="416" t="s">
        <v>188</v>
      </c>
      <c r="M51" s="505">
        <v>0</v>
      </c>
      <c r="N51" s="501">
        <v>27</v>
      </c>
      <c r="O51" s="505">
        <v>0</v>
      </c>
      <c r="P51" s="505">
        <v>10</v>
      </c>
      <c r="Q51" s="505">
        <v>18</v>
      </c>
      <c r="R51" s="505">
        <v>9</v>
      </c>
      <c r="S51" s="505">
        <v>0</v>
      </c>
      <c r="T51" s="505">
        <v>0</v>
      </c>
      <c r="U51" s="502"/>
      <c r="V51" s="502">
        <f>'DMF PI Links Physical Prog.S1'!Q51</f>
        <v>3</v>
      </c>
      <c r="W51" s="603"/>
      <c r="X51" s="597">
        <f>'3. DMF Progress'!E21</f>
        <v>12.1</v>
      </c>
      <c r="Y51" s="602">
        <f>'3. DMF Progress'!F21</f>
        <v>0.36299999999999999</v>
      </c>
      <c r="Z51" s="654">
        <f>Q51/4</f>
        <v>4.5</v>
      </c>
      <c r="AA51" s="617">
        <f>'3. DMF Progress'!T21</f>
        <v>18.840123456790124</v>
      </c>
      <c r="AB51" s="740">
        <f>'3. DMF Progress'!AN21</f>
        <v>0.17297222222222219</v>
      </c>
      <c r="AC51" s="397" t="s">
        <v>836</v>
      </c>
      <c r="AD51" s="617">
        <f>'3. DMF Progress'!U21</f>
        <v>31.920679012345676</v>
      </c>
      <c r="AE51" s="740">
        <f>'3. DMF Progress'!AO21</f>
        <v>2.088027777777778</v>
      </c>
      <c r="AF51" s="654">
        <f t="shared" si="13"/>
        <v>9</v>
      </c>
      <c r="AG51" s="617"/>
      <c r="AH51" s="400"/>
      <c r="AI51" s="397"/>
      <c r="AK51" s="611">
        <f t="shared" ref="AK51:AM52" si="16">W51+Z51+AF51</f>
        <v>13.5</v>
      </c>
      <c r="AL51" s="612">
        <f t="shared" si="16"/>
        <v>30.940123456790126</v>
      </c>
      <c r="AM51" s="688">
        <f t="shared" si="16"/>
        <v>0.53597222222222218</v>
      </c>
    </row>
    <row r="52" spans="1:39" ht="70.5" customHeight="1">
      <c r="A52" s="496"/>
      <c r="B52" s="497" t="s">
        <v>494</v>
      </c>
      <c r="C52" s="497" t="s">
        <v>686</v>
      </c>
      <c r="D52" s="497"/>
      <c r="E52" s="529" t="s">
        <v>621</v>
      </c>
      <c r="F52" s="667"/>
      <c r="G52" s="504"/>
      <c r="H52" s="499"/>
      <c r="I52" s="504"/>
      <c r="J52" s="390" t="s">
        <v>366</v>
      </c>
      <c r="K52" s="390" t="s">
        <v>229</v>
      </c>
      <c r="L52" s="416" t="s">
        <v>134</v>
      </c>
      <c r="M52" s="505">
        <v>0</v>
      </c>
      <c r="N52" s="501">
        <v>500</v>
      </c>
      <c r="O52" s="505">
        <v>0</v>
      </c>
      <c r="P52" s="505">
        <v>100</v>
      </c>
      <c r="Q52" s="505">
        <v>200</v>
      </c>
      <c r="R52" s="505">
        <v>100</v>
      </c>
      <c r="S52" s="505">
        <v>100</v>
      </c>
      <c r="T52" s="505">
        <v>100</v>
      </c>
      <c r="U52" s="502"/>
      <c r="V52" s="502">
        <f>'DMF PI Links Physical Prog.S1'!Q52</f>
        <v>3</v>
      </c>
      <c r="W52" s="603"/>
      <c r="X52" s="597">
        <f>'3. DMF Progress'!E22</f>
        <v>10</v>
      </c>
      <c r="Y52" s="602">
        <f>'3. DMF Progress'!F22</f>
        <v>0.3</v>
      </c>
      <c r="Z52" s="654">
        <f>Q52/4</f>
        <v>50</v>
      </c>
      <c r="AA52" s="617">
        <f>'3. DMF Progress'!T22</f>
        <v>13</v>
      </c>
      <c r="AB52" s="740">
        <f>'3. DMF Progress'!AN22</f>
        <v>4.2000000000000003E-2</v>
      </c>
      <c r="AC52" s="397" t="s">
        <v>837</v>
      </c>
      <c r="AD52" s="617">
        <f>'3. DMF Progress'!U22</f>
        <v>17.899999999999999</v>
      </c>
      <c r="AE52" s="740">
        <f>'3. DMF Progress'!AO22</f>
        <v>1.3169999999999999</v>
      </c>
      <c r="AF52" s="654">
        <f t="shared" si="13"/>
        <v>100</v>
      </c>
      <c r="AG52" s="617"/>
      <c r="AH52" s="400"/>
      <c r="AI52" s="397"/>
      <c r="AK52" s="611">
        <f t="shared" si="16"/>
        <v>150</v>
      </c>
      <c r="AL52" s="612">
        <f t="shared" si="16"/>
        <v>23</v>
      </c>
      <c r="AM52" s="688">
        <f t="shared" si="16"/>
        <v>0.34199999999999997</v>
      </c>
    </row>
    <row r="53" spans="1:39" ht="70.5" customHeight="1">
      <c r="A53" s="496">
        <v>13</v>
      </c>
      <c r="B53" s="497" t="s">
        <v>405</v>
      </c>
      <c r="C53" s="497" t="s">
        <v>443</v>
      </c>
      <c r="D53" s="497"/>
      <c r="E53" s="528" t="s">
        <v>840</v>
      </c>
      <c r="F53" s="668" t="s">
        <v>679</v>
      </c>
      <c r="G53" s="504" t="s">
        <v>525</v>
      </c>
      <c r="H53" s="499" t="s">
        <v>660</v>
      </c>
      <c r="I53" s="504"/>
      <c r="J53" s="390" t="s">
        <v>366</v>
      </c>
      <c r="K53" s="390" t="s">
        <v>229</v>
      </c>
      <c r="L53" s="416"/>
      <c r="M53" s="505">
        <v>0</v>
      </c>
      <c r="N53" s="501">
        <f>SUM(N54:N55)</f>
        <v>8</v>
      </c>
      <c r="O53" s="505"/>
      <c r="P53" s="640">
        <f>SUM(P54:P55)</f>
        <v>6</v>
      </c>
      <c r="Q53" s="640">
        <f>P53</f>
        <v>6</v>
      </c>
      <c r="R53" s="640">
        <f t="shared" ref="R53:T53" si="17">SUM(R54:R55)</f>
        <v>2</v>
      </c>
      <c r="S53" s="640">
        <f t="shared" si="17"/>
        <v>0</v>
      </c>
      <c r="T53" s="640">
        <f t="shared" si="17"/>
        <v>0</v>
      </c>
      <c r="U53" s="502"/>
      <c r="V53" s="502"/>
      <c r="W53" s="603"/>
      <c r="X53" s="597"/>
      <c r="Y53" s="602"/>
      <c r="Z53" s="654">
        <f>Q53/4</f>
        <v>1.5</v>
      </c>
      <c r="AA53" s="646">
        <f>Z53*AB53</f>
        <v>0.23187500000000003</v>
      </c>
      <c r="AB53" s="740">
        <f>SUM(AB54:AB55)/2</f>
        <v>0.15458333333333335</v>
      </c>
      <c r="AC53" s="397" t="s">
        <v>842</v>
      </c>
      <c r="AD53" s="646" t="e">
        <f>AC53*AE53</f>
        <v>#VALUE!</v>
      </c>
      <c r="AE53" s="740">
        <f>SUM(AE54:AE55)/2</f>
        <v>1.3225833333333332</v>
      </c>
      <c r="AF53" s="654">
        <f t="shared" si="13"/>
        <v>3</v>
      </c>
      <c r="AG53" s="617"/>
      <c r="AH53" s="400">
        <f t="shared" si="0"/>
        <v>0</v>
      </c>
      <c r="AI53" s="397"/>
      <c r="AK53" s="611"/>
      <c r="AL53" s="612"/>
      <c r="AM53" s="613"/>
    </row>
    <row r="54" spans="1:39" ht="131.25" customHeight="1">
      <c r="A54" s="496"/>
      <c r="B54" s="497" t="s">
        <v>495</v>
      </c>
      <c r="C54" s="497" t="s">
        <v>687</v>
      </c>
      <c r="D54" s="497"/>
      <c r="E54" s="529" t="s">
        <v>626</v>
      </c>
      <c r="F54" s="667"/>
      <c r="G54" s="504"/>
      <c r="H54" s="499"/>
      <c r="I54" s="504"/>
      <c r="J54" s="390" t="s">
        <v>366</v>
      </c>
      <c r="K54" s="390" t="s">
        <v>229</v>
      </c>
      <c r="L54" s="416" t="s">
        <v>463</v>
      </c>
      <c r="M54" s="505">
        <v>0</v>
      </c>
      <c r="N54" s="501">
        <v>4</v>
      </c>
      <c r="O54" s="505">
        <v>0</v>
      </c>
      <c r="P54" s="505">
        <v>3</v>
      </c>
      <c r="Q54" s="505">
        <v>4</v>
      </c>
      <c r="R54" s="505">
        <v>1</v>
      </c>
      <c r="S54" s="505"/>
      <c r="T54" s="505"/>
      <c r="U54" s="502"/>
      <c r="V54" s="502">
        <f>'DMF PI Links Physical Prog.S1'!Q54</f>
        <v>2</v>
      </c>
      <c r="W54" s="603"/>
      <c r="X54" s="597">
        <f>'3. DMF Progress'!E23</f>
        <v>26.3</v>
      </c>
      <c r="Y54" s="602">
        <f>'3. DMF Progress'!F23</f>
        <v>0.52600000000000002</v>
      </c>
      <c r="Z54" s="654">
        <f>P54/4</f>
        <v>0.75</v>
      </c>
      <c r="AA54" s="617">
        <f>'3. DMF Progress'!T23</f>
        <v>5.5750000000000002</v>
      </c>
      <c r="AB54" s="740">
        <f>'3. DMF Progress'!AN23</f>
        <v>0.11733333333333335</v>
      </c>
      <c r="AC54" s="397" t="s">
        <v>841</v>
      </c>
      <c r="AD54" s="617">
        <f>'3. DMF Progress'!U23</f>
        <v>51.041666666666671</v>
      </c>
      <c r="AE54" s="740">
        <f>'3. DMF Progress'!AO23</f>
        <v>1.2438333333333333</v>
      </c>
      <c r="AF54" s="654">
        <f>P54/2</f>
        <v>1.5</v>
      </c>
      <c r="AG54" s="617"/>
      <c r="AH54" s="400"/>
      <c r="AI54" s="397"/>
      <c r="AK54" s="611">
        <f t="shared" ref="AK54:AM55" si="18">W54+Z54+AF54</f>
        <v>2.25</v>
      </c>
      <c r="AL54" s="612">
        <f t="shared" si="18"/>
        <v>31.875</v>
      </c>
      <c r="AM54" s="688">
        <f t="shared" si="18"/>
        <v>0.64333333333333331</v>
      </c>
    </row>
    <row r="55" spans="1:39" ht="138.75" customHeight="1">
      <c r="A55" s="496"/>
      <c r="B55" s="497" t="s">
        <v>496</v>
      </c>
      <c r="C55" s="497" t="s">
        <v>688</v>
      </c>
      <c r="D55" s="497"/>
      <c r="E55" s="529" t="s">
        <v>627</v>
      </c>
      <c r="F55" s="667"/>
      <c r="G55" s="504"/>
      <c r="H55" s="499"/>
      <c r="I55" s="504"/>
      <c r="J55" s="390" t="s">
        <v>366</v>
      </c>
      <c r="K55" s="390" t="s">
        <v>229</v>
      </c>
      <c r="L55" s="416" t="s">
        <v>464</v>
      </c>
      <c r="M55" s="505">
        <v>0</v>
      </c>
      <c r="N55" s="501">
        <v>4</v>
      </c>
      <c r="O55" s="505">
        <v>0</v>
      </c>
      <c r="P55" s="505">
        <v>3</v>
      </c>
      <c r="Q55" s="505">
        <v>4</v>
      </c>
      <c r="R55" s="505">
        <v>1</v>
      </c>
      <c r="S55" s="505"/>
      <c r="T55" s="505"/>
      <c r="U55" s="502"/>
      <c r="V55" s="502">
        <f>'DMF PI Links Physical Prog.S1'!Q55</f>
        <v>2</v>
      </c>
      <c r="W55" s="603"/>
      <c r="X55" s="597">
        <f>'3. DMF Progress'!E24</f>
        <v>30.3</v>
      </c>
      <c r="Y55" s="602">
        <f>'3. DMF Progress'!F24</f>
        <v>0.60599999999999998</v>
      </c>
      <c r="Z55" s="654">
        <f>P55/4</f>
        <v>0.75</v>
      </c>
      <c r="AA55" s="617">
        <f>'3. DMF Progress'!T24</f>
        <v>4.3250000000000002</v>
      </c>
      <c r="AB55" s="740">
        <f>'3. DMF Progress'!AN24</f>
        <v>0.19183333333333338</v>
      </c>
      <c r="AC55" s="397" t="s">
        <v>839</v>
      </c>
      <c r="AD55" s="617">
        <f>'3. DMF Progress'!U24</f>
        <v>61.416666666666664</v>
      </c>
      <c r="AE55" s="740">
        <f>'3. DMF Progress'!AO24</f>
        <v>1.4013333333333333</v>
      </c>
      <c r="AF55" s="654">
        <f>P55/2</f>
        <v>1.5</v>
      </c>
      <c r="AG55" s="617"/>
      <c r="AH55" s="400"/>
      <c r="AI55" s="397"/>
      <c r="AK55" s="611">
        <f t="shared" si="18"/>
        <v>2.25</v>
      </c>
      <c r="AL55" s="612">
        <f t="shared" si="18"/>
        <v>34.625</v>
      </c>
      <c r="AM55" s="688">
        <f t="shared" si="18"/>
        <v>0.79783333333333339</v>
      </c>
    </row>
    <row r="56" spans="1:39" s="572" customFormat="1" ht="35.1" customHeight="1">
      <c r="A56" s="559"/>
      <c r="B56" s="560" t="s">
        <v>389</v>
      </c>
      <c r="C56" s="560">
        <v>3</v>
      </c>
      <c r="D56" s="560"/>
      <c r="E56" s="561" t="s">
        <v>402</v>
      </c>
      <c r="F56" s="562"/>
      <c r="G56" s="563"/>
      <c r="H56" s="564"/>
      <c r="I56" s="563"/>
      <c r="J56" s="565"/>
      <c r="K56" s="565"/>
      <c r="L56" s="566"/>
      <c r="M56" s="567"/>
      <c r="N56" s="568"/>
      <c r="O56" s="567"/>
      <c r="P56" s="567"/>
      <c r="Q56" s="567"/>
      <c r="R56" s="567"/>
      <c r="S56" s="567"/>
      <c r="T56" s="567"/>
      <c r="U56" s="569"/>
      <c r="V56" s="569">
        <f>'DMF PI Links Physical Prog.S1'!Q56</f>
        <v>15</v>
      </c>
      <c r="W56" s="662"/>
      <c r="X56" s="614"/>
      <c r="Y56" s="569">
        <f>'3. DMF Progress'!F34</f>
        <v>1.3950000000000002</v>
      </c>
      <c r="Z56" s="627"/>
      <c r="AA56" s="569">
        <f>'3. DMF Progress'!T34</f>
        <v>67.050000000000011</v>
      </c>
      <c r="AB56" s="702">
        <f>'3. DMF Progress'!AN34</f>
        <v>1.4125000000000001</v>
      </c>
      <c r="AC56" s="562"/>
      <c r="AD56" s="569">
        <f>'3. DMF Progress'!U34</f>
        <v>160.12500000000003</v>
      </c>
      <c r="AE56" s="702">
        <f>'3. DMF Progress'!AO34</f>
        <v>3.3840000000000003</v>
      </c>
      <c r="AF56" s="627"/>
      <c r="AG56" s="684">
        <f>'3. DMF Progress'!AS34</f>
        <v>1.1166749999999999</v>
      </c>
      <c r="AH56" s="684">
        <f>'3. DMF Progress'!AT34</f>
        <v>2.529175</v>
      </c>
      <c r="AI56" s="562"/>
      <c r="AK56" s="611"/>
      <c r="AL56" s="689">
        <f>X56+AA56+AG56</f>
        <v>68.166675000000012</v>
      </c>
      <c r="AM56" s="689">
        <f>Y56+AB56+AH56</f>
        <v>5.3366749999999996</v>
      </c>
    </row>
    <row r="57" spans="1:39" ht="56.25" customHeight="1">
      <c r="A57" s="496">
        <v>14</v>
      </c>
      <c r="B57" s="497" t="s">
        <v>582</v>
      </c>
      <c r="C57" s="497" t="s">
        <v>444</v>
      </c>
      <c r="D57" s="497"/>
      <c r="E57" s="528" t="s">
        <v>421</v>
      </c>
      <c r="F57" s="668" t="s">
        <v>679</v>
      </c>
      <c r="G57" s="504" t="s">
        <v>526</v>
      </c>
      <c r="H57" s="499" t="s">
        <v>660</v>
      </c>
      <c r="I57" s="504"/>
      <c r="J57" s="390" t="s">
        <v>366</v>
      </c>
      <c r="K57" s="390" t="s">
        <v>229</v>
      </c>
      <c r="L57" s="416" t="s">
        <v>469</v>
      </c>
      <c r="M57" s="505"/>
      <c r="N57" s="501">
        <f>SUM(N58:N61)</f>
        <v>4</v>
      </c>
      <c r="O57" s="640">
        <v>0</v>
      </c>
      <c r="P57" s="640">
        <v>0</v>
      </c>
      <c r="Q57" s="656">
        <f>SUM(Q58:Q61)</f>
        <v>1.3</v>
      </c>
      <c r="R57" s="656">
        <f>SUM(R58:R61)</f>
        <v>1.3</v>
      </c>
      <c r="S57" s="656">
        <f>SUM(S58:S61)</f>
        <v>1</v>
      </c>
      <c r="T57" s="656">
        <f>SUM(T58:T61)</f>
        <v>0.30000000000000004</v>
      </c>
      <c r="U57" s="502"/>
      <c r="V57" s="502">
        <f>'DMF PI Links Physical Prog.S1'!Q57</f>
        <v>2</v>
      </c>
      <c r="W57" s="603"/>
      <c r="X57" s="597">
        <f>'3. DMF Progress'!E27</f>
        <v>19</v>
      </c>
      <c r="Y57" s="602">
        <f>'3. DMF Progress'!F27</f>
        <v>0.38</v>
      </c>
      <c r="Z57" s="654">
        <f>$Q$57/4</f>
        <v>0.32500000000000001</v>
      </c>
      <c r="AA57" s="617">
        <f>'3. DMF Progress'!T27</f>
        <v>20.75</v>
      </c>
      <c r="AB57" s="740">
        <f>'3. DMF Progress'!AN27</f>
        <v>0.41500000000000004</v>
      </c>
      <c r="AC57" s="397" t="s">
        <v>851</v>
      </c>
      <c r="AD57" s="617">
        <f>'3. DMF Progress'!U27</f>
        <v>58.075000000000003</v>
      </c>
      <c r="AE57" s="740">
        <f>'3. DMF Progress'!AO27</f>
        <v>1.1615</v>
      </c>
      <c r="AF57" s="654">
        <f>$Q$57/2</f>
        <v>0.65</v>
      </c>
      <c r="AG57" s="617"/>
      <c r="AH57" s="400">
        <f t="shared" si="0"/>
        <v>0</v>
      </c>
      <c r="AI57" s="397"/>
      <c r="AK57" s="611">
        <f>W57+Z57+AF57</f>
        <v>0.97500000000000009</v>
      </c>
      <c r="AL57" s="612">
        <f>X57+AA57+AG57</f>
        <v>39.75</v>
      </c>
      <c r="AM57" s="688">
        <f>Y57+AB57+AH57</f>
        <v>0.79500000000000004</v>
      </c>
    </row>
    <row r="58" spans="1:39" ht="72.75" customHeight="1">
      <c r="A58" s="496"/>
      <c r="B58" s="497" t="s">
        <v>497</v>
      </c>
      <c r="C58" s="497"/>
      <c r="D58" s="497"/>
      <c r="E58" s="529" t="s">
        <v>849</v>
      </c>
      <c r="F58" s="667"/>
      <c r="G58" s="504"/>
      <c r="H58" s="499"/>
      <c r="I58" s="504"/>
      <c r="J58" s="390" t="s">
        <v>366</v>
      </c>
      <c r="K58" s="390" t="s">
        <v>229</v>
      </c>
      <c r="L58" s="416" t="s">
        <v>469</v>
      </c>
      <c r="M58" s="505">
        <v>0</v>
      </c>
      <c r="N58" s="501">
        <v>1</v>
      </c>
      <c r="O58" s="505">
        <v>0</v>
      </c>
      <c r="P58" s="505"/>
      <c r="Q58" s="631">
        <v>0.4</v>
      </c>
      <c r="R58" s="631">
        <v>0.4</v>
      </c>
      <c r="S58" s="631">
        <v>0.1</v>
      </c>
      <c r="T58" s="505"/>
      <c r="U58" s="502"/>
      <c r="V58" s="502"/>
      <c r="W58" s="603"/>
      <c r="X58" s="597"/>
      <c r="Y58" s="602"/>
      <c r="Z58" s="654">
        <f>$Q$58/4</f>
        <v>0.1</v>
      </c>
      <c r="AA58" s="617"/>
      <c r="AB58" s="740">
        <f>'Output 3'!CU9/100</f>
        <v>8.2500000000000004E-2</v>
      </c>
      <c r="AC58" s="397" t="s">
        <v>848</v>
      </c>
      <c r="AD58" s="617"/>
      <c r="AE58" s="740">
        <f>'Output 3'!DC9/100</f>
        <v>0.21925</v>
      </c>
      <c r="AF58" s="654">
        <f>$Q$58/2</f>
        <v>0.2</v>
      </c>
      <c r="AG58" s="617"/>
      <c r="AH58" s="400"/>
      <c r="AI58" s="397"/>
      <c r="AK58" s="611"/>
      <c r="AL58" s="612"/>
      <c r="AM58" s="613"/>
    </row>
    <row r="59" spans="1:39" s="650" customFormat="1" ht="49.5" customHeight="1">
      <c r="A59" s="634"/>
      <c r="B59" s="635" t="s">
        <v>498</v>
      </c>
      <c r="C59" s="635"/>
      <c r="D59" s="635"/>
      <c r="E59" s="529" t="s">
        <v>843</v>
      </c>
      <c r="F59" s="669"/>
      <c r="G59" s="636"/>
      <c r="H59" s="637"/>
      <c r="I59" s="636"/>
      <c r="J59" s="638" t="s">
        <v>366</v>
      </c>
      <c r="K59" s="638" t="s">
        <v>229</v>
      </c>
      <c r="L59" s="639" t="s">
        <v>469</v>
      </c>
      <c r="M59" s="640">
        <v>0</v>
      </c>
      <c r="N59" s="641">
        <v>1</v>
      </c>
      <c r="O59" s="640">
        <v>0</v>
      </c>
      <c r="P59" s="640"/>
      <c r="Q59" s="631">
        <v>0.3</v>
      </c>
      <c r="R59" s="631">
        <v>0.3</v>
      </c>
      <c r="S59" s="631">
        <v>0.3</v>
      </c>
      <c r="T59" s="631">
        <v>0.1</v>
      </c>
      <c r="U59" s="642"/>
      <c r="V59" s="642"/>
      <c r="W59" s="643"/>
      <c r="X59" s="644"/>
      <c r="Y59" s="645"/>
      <c r="Z59" s="654">
        <f>$Q$59/4</f>
        <v>7.4999999999999997E-2</v>
      </c>
      <c r="AA59" s="646"/>
      <c r="AB59" s="1137">
        <f>'Output 3'!CU10/100</f>
        <v>4.2500000000000003E-2</v>
      </c>
      <c r="AC59" s="1139" t="s">
        <v>852</v>
      </c>
      <c r="AD59" s="646"/>
      <c r="AE59" s="740">
        <f>'Output 3'!DC10/100</f>
        <v>0.105</v>
      </c>
      <c r="AF59" s="654">
        <f>$Q$59/2</f>
        <v>0.15</v>
      </c>
      <c r="AG59" s="646"/>
      <c r="AH59" s="649"/>
      <c r="AI59" s="648"/>
      <c r="AK59" s="651"/>
      <c r="AL59" s="652"/>
      <c r="AM59" s="653"/>
    </row>
    <row r="60" spans="1:39" ht="69.75" customHeight="1">
      <c r="A60" s="496"/>
      <c r="B60" s="497" t="s">
        <v>499</v>
      </c>
      <c r="C60" s="497"/>
      <c r="D60" s="497"/>
      <c r="E60" s="529" t="s">
        <v>844</v>
      </c>
      <c r="F60" s="667"/>
      <c r="G60" s="504"/>
      <c r="H60" s="499"/>
      <c r="I60" s="504"/>
      <c r="J60" s="390" t="s">
        <v>366</v>
      </c>
      <c r="K60" s="390" t="s">
        <v>229</v>
      </c>
      <c r="L60" s="416" t="s">
        <v>469</v>
      </c>
      <c r="M60" s="505">
        <v>0</v>
      </c>
      <c r="N60" s="501">
        <v>1</v>
      </c>
      <c r="O60" s="505">
        <v>0</v>
      </c>
      <c r="P60" s="505"/>
      <c r="Q60" s="631">
        <v>0.3</v>
      </c>
      <c r="R60" s="631">
        <v>0.3</v>
      </c>
      <c r="S60" s="631">
        <v>0.3</v>
      </c>
      <c r="T60" s="631">
        <v>0.1</v>
      </c>
      <c r="U60" s="502"/>
      <c r="V60" s="502"/>
      <c r="W60" s="603"/>
      <c r="X60" s="597"/>
      <c r="Y60" s="602"/>
      <c r="Z60" s="654">
        <f>$Q$60/4</f>
        <v>7.4999999999999997E-2</v>
      </c>
      <c r="AA60" s="617"/>
      <c r="AB60" s="1137">
        <f>'Output 3'!CU11/100</f>
        <v>0.04</v>
      </c>
      <c r="AC60" s="397" t="s">
        <v>854</v>
      </c>
      <c r="AD60" s="617"/>
      <c r="AE60" s="740">
        <f>'Output 3'!DC11/100</f>
        <v>0.10249999999999999</v>
      </c>
      <c r="AF60" s="654">
        <f>$Q$60/2</f>
        <v>0.15</v>
      </c>
      <c r="AG60" s="617"/>
      <c r="AH60" s="400"/>
      <c r="AI60" s="397"/>
      <c r="AK60" s="611"/>
      <c r="AL60" s="612"/>
      <c r="AM60" s="613"/>
    </row>
    <row r="61" spans="1:39" ht="69" customHeight="1">
      <c r="A61" s="496"/>
      <c r="B61" s="497" t="s">
        <v>500</v>
      </c>
      <c r="C61" s="497"/>
      <c r="D61" s="497"/>
      <c r="E61" s="1138" t="s">
        <v>850</v>
      </c>
      <c r="F61" s="667"/>
      <c r="G61" s="504"/>
      <c r="H61" s="499"/>
      <c r="I61" s="504"/>
      <c r="J61" s="390" t="s">
        <v>366</v>
      </c>
      <c r="K61" s="390" t="s">
        <v>229</v>
      </c>
      <c r="L61" s="416" t="s">
        <v>469</v>
      </c>
      <c r="M61" s="505">
        <v>0</v>
      </c>
      <c r="N61" s="501">
        <v>1</v>
      </c>
      <c r="O61" s="505">
        <v>0</v>
      </c>
      <c r="P61" s="505"/>
      <c r="Q61" s="631">
        <v>0.3</v>
      </c>
      <c r="R61" s="631">
        <v>0.3</v>
      </c>
      <c r="S61" s="631">
        <v>0.3</v>
      </c>
      <c r="T61" s="631">
        <v>0.1</v>
      </c>
      <c r="U61" s="502"/>
      <c r="V61" s="502"/>
      <c r="W61" s="603"/>
      <c r="X61" s="597"/>
      <c r="Y61" s="602"/>
      <c r="Z61" s="654">
        <f>$Q$61/4</f>
        <v>7.4999999999999997E-2</v>
      </c>
      <c r="AA61" s="617"/>
      <c r="AB61" s="1137">
        <f>'Output 3'!CU12/100</f>
        <v>4.2500000000000003E-2</v>
      </c>
      <c r="AC61" s="397" t="s">
        <v>853</v>
      </c>
      <c r="AD61" s="617"/>
      <c r="AE61" s="740">
        <f>'Output 3'!DC12/100</f>
        <v>0.15400000000000003</v>
      </c>
      <c r="AF61" s="654">
        <f>$Q$61/2</f>
        <v>0.15</v>
      </c>
      <c r="AG61" s="617"/>
      <c r="AH61" s="400"/>
      <c r="AI61" s="397"/>
      <c r="AK61" s="611"/>
      <c r="AL61" s="612"/>
      <c r="AM61" s="613"/>
    </row>
    <row r="62" spans="1:39" ht="60" customHeight="1">
      <c r="A62" s="496">
        <v>15</v>
      </c>
      <c r="B62" s="497" t="s">
        <v>450</v>
      </c>
      <c r="C62" s="497" t="s">
        <v>445</v>
      </c>
      <c r="D62" s="497"/>
      <c r="E62" s="528" t="s">
        <v>406</v>
      </c>
      <c r="F62" s="668" t="s">
        <v>679</v>
      </c>
      <c r="G62" s="504" t="s">
        <v>527</v>
      </c>
      <c r="H62" s="499" t="s">
        <v>660</v>
      </c>
      <c r="I62" s="504"/>
      <c r="J62" s="390" t="s">
        <v>366</v>
      </c>
      <c r="K62" s="390" t="s">
        <v>229</v>
      </c>
      <c r="L62" s="416" t="s">
        <v>472</v>
      </c>
      <c r="M62" s="505">
        <v>0</v>
      </c>
      <c r="N62" s="501">
        <f>SUM(N63:N64)</f>
        <v>2</v>
      </c>
      <c r="O62" s="505">
        <v>0</v>
      </c>
      <c r="P62" s="505">
        <v>0</v>
      </c>
      <c r="Q62" s="631">
        <f>SUM(Q63:Q64)</f>
        <v>0.6</v>
      </c>
      <c r="R62" s="631">
        <f t="shared" ref="R62:T62" si="19">SUM(R63:R64)</f>
        <v>0.6</v>
      </c>
      <c r="S62" s="631">
        <f t="shared" si="19"/>
        <v>0.6</v>
      </c>
      <c r="T62" s="631">
        <f t="shared" si="19"/>
        <v>0.2</v>
      </c>
      <c r="U62" s="502"/>
      <c r="V62" s="502">
        <f>'DMF PI Links Physical Prog.S1'!Q64</f>
        <v>2</v>
      </c>
      <c r="W62" s="603"/>
      <c r="X62" s="597">
        <f>'3. DMF Progress'!E28</f>
        <v>14.5</v>
      </c>
      <c r="Y62" s="602">
        <f>'3. DMF Progress'!F28</f>
        <v>0.28999999999999998</v>
      </c>
      <c r="Z62" s="654">
        <f>$Q$62/4</f>
        <v>0.15</v>
      </c>
      <c r="AA62" s="617">
        <f>'3. DMF Progress'!T28</f>
        <v>7.15</v>
      </c>
      <c r="AB62" s="1137">
        <f>'3. DMF Progress'!AN28</f>
        <v>0.14299999999999999</v>
      </c>
      <c r="AC62" s="397" t="s">
        <v>851</v>
      </c>
      <c r="AD62" s="617">
        <f>'3. DMF Progress'!U28</f>
        <v>16.650000000000002</v>
      </c>
      <c r="AE62" s="740">
        <f>'3. DMF Progress'!AO28</f>
        <v>0.33299999999999996</v>
      </c>
      <c r="AF62" s="654">
        <f>$Q$62/2</f>
        <v>0.3</v>
      </c>
      <c r="AG62" s="617"/>
      <c r="AH62" s="400">
        <f t="shared" si="0"/>
        <v>0</v>
      </c>
      <c r="AI62" s="397"/>
      <c r="AK62" s="611">
        <f>W62+Z62+AF62</f>
        <v>0.44999999999999996</v>
      </c>
      <c r="AL62" s="612">
        <f>X62+AA62+AG62</f>
        <v>21.65</v>
      </c>
      <c r="AM62" s="688">
        <f>Y62+AB62+AH62</f>
        <v>0.43299999999999994</v>
      </c>
    </row>
    <row r="63" spans="1:39" ht="68.25" customHeight="1">
      <c r="A63" s="496"/>
      <c r="B63" s="497" t="s">
        <v>477</v>
      </c>
      <c r="C63" s="497"/>
      <c r="D63" s="497"/>
      <c r="E63" s="529" t="s">
        <v>470</v>
      </c>
      <c r="F63" s="667"/>
      <c r="G63" s="504"/>
      <c r="H63" s="499"/>
      <c r="I63" s="504"/>
      <c r="J63" s="390" t="s">
        <v>366</v>
      </c>
      <c r="K63" s="390" t="s">
        <v>229</v>
      </c>
      <c r="L63" s="416" t="s">
        <v>472</v>
      </c>
      <c r="M63" s="505">
        <v>0</v>
      </c>
      <c r="N63" s="501">
        <v>1</v>
      </c>
      <c r="O63" s="505">
        <v>0</v>
      </c>
      <c r="P63" s="505">
        <v>0</v>
      </c>
      <c r="Q63" s="631">
        <v>0.3</v>
      </c>
      <c r="R63" s="631">
        <v>0.3</v>
      </c>
      <c r="S63" s="631">
        <v>0.3</v>
      </c>
      <c r="T63" s="631">
        <v>0.1</v>
      </c>
      <c r="U63" s="502"/>
      <c r="V63" s="502"/>
      <c r="W63" s="603"/>
      <c r="X63" s="597"/>
      <c r="Y63" s="602"/>
      <c r="Z63" s="654">
        <f>$Q$63/4</f>
        <v>7.4999999999999997E-2</v>
      </c>
      <c r="AA63" s="617"/>
      <c r="AB63" s="1137">
        <f>'Output 3'!CU16/100</f>
        <v>0</v>
      </c>
      <c r="AC63" s="397" t="s">
        <v>855</v>
      </c>
      <c r="AD63" s="617"/>
      <c r="AE63" s="1137">
        <f>'Output 3'!DC16/100</f>
        <v>0</v>
      </c>
      <c r="AF63" s="654">
        <f>$Q$63/2</f>
        <v>0.15</v>
      </c>
      <c r="AG63" s="617"/>
      <c r="AH63" s="400"/>
      <c r="AI63" s="397"/>
      <c r="AK63" s="611"/>
      <c r="AL63" s="612"/>
      <c r="AM63" s="613"/>
    </row>
    <row r="64" spans="1:39" ht="61.5" customHeight="1">
      <c r="A64" s="496"/>
      <c r="B64" s="497" t="s">
        <v>478</v>
      </c>
      <c r="C64" s="497"/>
      <c r="D64" s="497"/>
      <c r="E64" s="529" t="s">
        <v>471</v>
      </c>
      <c r="F64" s="667"/>
      <c r="G64" s="504"/>
      <c r="H64" s="499"/>
      <c r="I64" s="504"/>
      <c r="J64" s="390" t="s">
        <v>366</v>
      </c>
      <c r="K64" s="390" t="s">
        <v>229</v>
      </c>
      <c r="L64" s="416" t="s">
        <v>472</v>
      </c>
      <c r="M64" s="505">
        <v>0</v>
      </c>
      <c r="N64" s="501">
        <v>1</v>
      </c>
      <c r="O64" s="505">
        <v>0</v>
      </c>
      <c r="P64" s="505">
        <v>0</v>
      </c>
      <c r="Q64" s="631">
        <v>0.3</v>
      </c>
      <c r="R64" s="631">
        <v>0.3</v>
      </c>
      <c r="S64" s="631">
        <v>0.3</v>
      </c>
      <c r="T64" s="631">
        <v>0.1</v>
      </c>
      <c r="U64" s="502"/>
      <c r="V64" s="502"/>
      <c r="W64" s="603"/>
      <c r="X64" s="597"/>
      <c r="Y64" s="602"/>
      <c r="Z64" s="654">
        <f>$Q$64/4</f>
        <v>7.4999999999999997E-2</v>
      </c>
      <c r="AA64" s="617"/>
      <c r="AB64" s="1137">
        <f>'Output 3'!CU17/100</f>
        <v>2.5499999999999998E-2</v>
      </c>
      <c r="AC64" s="397" t="s">
        <v>856</v>
      </c>
      <c r="AD64" s="617"/>
      <c r="AE64" s="1137">
        <f>'Output 3'!DC17/100</f>
        <v>4.0500000000000008E-2</v>
      </c>
      <c r="AF64" s="654">
        <f>$Q$64/2</f>
        <v>0.15</v>
      </c>
      <c r="AG64" s="617"/>
      <c r="AH64" s="400"/>
      <c r="AI64" s="397"/>
      <c r="AK64" s="611"/>
      <c r="AL64" s="612"/>
      <c r="AM64" s="613"/>
    </row>
    <row r="65" spans="1:39" ht="91.5" customHeight="1">
      <c r="A65" s="496">
        <v>16</v>
      </c>
      <c r="B65" s="497" t="s">
        <v>451</v>
      </c>
      <c r="C65" s="497" t="s">
        <v>446</v>
      </c>
      <c r="D65" s="497"/>
      <c r="E65" s="528" t="s">
        <v>407</v>
      </c>
      <c r="F65" s="668" t="s">
        <v>679</v>
      </c>
      <c r="G65" s="504" t="s">
        <v>528</v>
      </c>
      <c r="H65" s="499" t="s">
        <v>660</v>
      </c>
      <c r="I65" s="504"/>
      <c r="J65" s="390" t="s">
        <v>366</v>
      </c>
      <c r="K65" s="390" t="s">
        <v>229</v>
      </c>
      <c r="L65" s="416" t="s">
        <v>134</v>
      </c>
      <c r="M65" s="505">
        <v>0</v>
      </c>
      <c r="N65" s="641">
        <v>50</v>
      </c>
      <c r="O65" s="640">
        <v>0</v>
      </c>
      <c r="P65" s="640">
        <v>0</v>
      </c>
      <c r="Q65" s="640">
        <v>25</v>
      </c>
      <c r="R65" s="640">
        <v>20</v>
      </c>
      <c r="S65" s="640">
        <v>15</v>
      </c>
      <c r="T65" s="640">
        <v>0</v>
      </c>
      <c r="U65" s="502"/>
      <c r="V65" s="502">
        <f>'DMF PI Links Physical Prog.S1'!Q67</f>
        <v>2</v>
      </c>
      <c r="W65" s="603"/>
      <c r="X65" s="597">
        <f>'3. DMF Progress'!E29</f>
        <v>11.5</v>
      </c>
      <c r="Y65" s="602">
        <f>'3. DMF Progress'!F29</f>
        <v>0.23</v>
      </c>
      <c r="Z65" s="654">
        <f t="shared" ref="Z65:Z73" si="20">Q65/4</f>
        <v>6.25</v>
      </c>
      <c r="AA65" s="617">
        <f>'3. DMF Progress'!T29</f>
        <v>12.200000000000001</v>
      </c>
      <c r="AB65" s="740">
        <f>'3. DMF Progress'!AN29</f>
        <v>0.24400000000000005</v>
      </c>
      <c r="AC65" s="397" t="s">
        <v>858</v>
      </c>
      <c r="AD65" s="617">
        <f>'3. DMF Progress'!U29</f>
        <v>42.199999999999996</v>
      </c>
      <c r="AE65" s="740">
        <f>'3. DMF Progress'!AO29</f>
        <v>0.84400000000000008</v>
      </c>
      <c r="AF65" s="654">
        <f t="shared" ref="AF65:AF72" si="21">Q65/2</f>
        <v>12.5</v>
      </c>
      <c r="AG65" s="617"/>
      <c r="AH65" s="400">
        <f t="shared" si="0"/>
        <v>0</v>
      </c>
      <c r="AI65" s="397"/>
      <c r="AK65" s="611">
        <f>W65+Z65+AF65</f>
        <v>18.75</v>
      </c>
      <c r="AL65" s="612">
        <f>X65+AA65+AG65</f>
        <v>23.700000000000003</v>
      </c>
      <c r="AM65" s="688">
        <f>Y65+AB65+AH65</f>
        <v>0.47400000000000009</v>
      </c>
    </row>
    <row r="66" spans="1:39" ht="57.75" customHeight="1">
      <c r="A66" s="496"/>
      <c r="B66" s="497" t="s">
        <v>475</v>
      </c>
      <c r="C66" s="497"/>
      <c r="D66" s="497"/>
      <c r="E66" s="529" t="s">
        <v>622</v>
      </c>
      <c r="F66" s="667"/>
      <c r="G66" s="504"/>
      <c r="H66" s="499"/>
      <c r="I66" s="504"/>
      <c r="J66" s="390" t="s">
        <v>366</v>
      </c>
      <c r="K66" s="390" t="s">
        <v>229</v>
      </c>
      <c r="L66" s="416" t="s">
        <v>134</v>
      </c>
      <c r="M66" s="505">
        <v>0</v>
      </c>
      <c r="N66" s="501">
        <f>N65/2</f>
        <v>25</v>
      </c>
      <c r="O66" s="505">
        <v>0</v>
      </c>
      <c r="P66" s="505">
        <f>P65/2</f>
        <v>0</v>
      </c>
      <c r="Q66" s="505">
        <f>Q65/2</f>
        <v>12.5</v>
      </c>
      <c r="R66" s="505">
        <f t="shared" ref="R66:T66" si="22">R65/2</f>
        <v>10</v>
      </c>
      <c r="S66" s="505">
        <f t="shared" si="22"/>
        <v>7.5</v>
      </c>
      <c r="T66" s="505">
        <f t="shared" si="22"/>
        <v>0</v>
      </c>
      <c r="U66" s="502"/>
      <c r="V66" s="502"/>
      <c r="W66" s="603"/>
      <c r="X66" s="597"/>
      <c r="Y66" s="602"/>
      <c r="Z66" s="654">
        <f t="shared" si="20"/>
        <v>3.125</v>
      </c>
      <c r="AA66" s="617"/>
      <c r="AB66" s="1137">
        <f>'Output 3'!CU25/100</f>
        <v>0</v>
      </c>
      <c r="AC66" s="397" t="s">
        <v>857</v>
      </c>
      <c r="AD66" s="617"/>
      <c r="AE66" s="1137">
        <f>'Output 3'!DC25/100</f>
        <v>0</v>
      </c>
      <c r="AF66" s="654">
        <f t="shared" si="21"/>
        <v>6.25</v>
      </c>
      <c r="AG66" s="617"/>
      <c r="AH66" s="400"/>
      <c r="AI66" s="397"/>
      <c r="AK66" s="611"/>
      <c r="AL66" s="612"/>
      <c r="AM66" s="613"/>
    </row>
    <row r="67" spans="1:39" ht="61.5" customHeight="1">
      <c r="A67" s="496"/>
      <c r="B67" s="497" t="s">
        <v>476</v>
      </c>
      <c r="C67" s="497"/>
      <c r="D67" s="497"/>
      <c r="E67" s="529" t="s">
        <v>623</v>
      </c>
      <c r="F67" s="667"/>
      <c r="G67" s="504"/>
      <c r="H67" s="499"/>
      <c r="I67" s="504"/>
      <c r="J67" s="390" t="s">
        <v>366</v>
      </c>
      <c r="K67" s="390" t="s">
        <v>229</v>
      </c>
      <c r="L67" s="416" t="s">
        <v>134</v>
      </c>
      <c r="M67" s="505">
        <v>0</v>
      </c>
      <c r="N67" s="501">
        <f>N65/2</f>
        <v>25</v>
      </c>
      <c r="O67" s="505">
        <v>0</v>
      </c>
      <c r="P67" s="505">
        <f>P65/2</f>
        <v>0</v>
      </c>
      <c r="Q67" s="505">
        <f>Q65/2</f>
        <v>12.5</v>
      </c>
      <c r="R67" s="505">
        <f t="shared" ref="R67:T67" si="23">R65/2</f>
        <v>10</v>
      </c>
      <c r="S67" s="505">
        <f t="shared" si="23"/>
        <v>7.5</v>
      </c>
      <c r="T67" s="505">
        <f t="shared" si="23"/>
        <v>0</v>
      </c>
      <c r="U67" s="502"/>
      <c r="V67" s="502"/>
      <c r="W67" s="603"/>
      <c r="X67" s="597"/>
      <c r="Y67" s="602"/>
      <c r="Z67" s="654">
        <f t="shared" si="20"/>
        <v>3.125</v>
      </c>
      <c r="AA67" s="617"/>
      <c r="AB67" s="1137">
        <f>'Output 3'!CU26/100</f>
        <v>0</v>
      </c>
      <c r="AC67" s="397" t="s">
        <v>857</v>
      </c>
      <c r="AD67" s="617"/>
      <c r="AE67" s="1137">
        <f>'Output 3'!DC26/100</f>
        <v>0</v>
      </c>
      <c r="AF67" s="654">
        <f t="shared" si="21"/>
        <v>6.25</v>
      </c>
      <c r="AG67" s="617"/>
      <c r="AH67" s="400"/>
      <c r="AI67" s="397"/>
      <c r="AK67" s="611"/>
      <c r="AL67" s="612"/>
      <c r="AM67" s="613"/>
    </row>
    <row r="68" spans="1:39" ht="86.25" customHeight="1">
      <c r="A68" s="496">
        <v>17</v>
      </c>
      <c r="B68" s="497" t="s">
        <v>452</v>
      </c>
      <c r="C68" s="497" t="s">
        <v>447</v>
      </c>
      <c r="D68" s="497"/>
      <c r="E68" s="528" t="s">
        <v>408</v>
      </c>
      <c r="F68" s="668" t="s">
        <v>679</v>
      </c>
      <c r="G68" s="504" t="s">
        <v>528</v>
      </c>
      <c r="H68" s="499" t="s">
        <v>660</v>
      </c>
      <c r="I68" s="504"/>
      <c r="J68" s="390" t="s">
        <v>366</v>
      </c>
      <c r="K68" s="390" t="s">
        <v>229</v>
      </c>
      <c r="L68" s="416"/>
      <c r="M68" s="505"/>
      <c r="N68" s="501">
        <v>30</v>
      </c>
      <c r="O68" s="505">
        <v>0</v>
      </c>
      <c r="P68" s="505">
        <v>0</v>
      </c>
      <c r="Q68" s="505">
        <v>10</v>
      </c>
      <c r="R68" s="505">
        <v>10</v>
      </c>
      <c r="S68" s="505">
        <v>10</v>
      </c>
      <c r="T68" s="505">
        <v>0</v>
      </c>
      <c r="U68" s="502"/>
      <c r="V68" s="502">
        <f>'DMF PI Links Physical Prog.S1'!Q70</f>
        <v>2</v>
      </c>
      <c r="W68" s="603"/>
      <c r="X68" s="597">
        <f>'3. DMF Progress'!E30</f>
        <v>5.4</v>
      </c>
      <c r="Y68" s="602">
        <f>'3. DMF Progress'!F30</f>
        <v>0.10800000000000001</v>
      </c>
      <c r="Z68" s="654">
        <f t="shared" si="20"/>
        <v>2.5</v>
      </c>
      <c r="AA68" s="617">
        <f>'3. DMF Progress'!T30</f>
        <v>9.2000000000000011</v>
      </c>
      <c r="AB68" s="740">
        <f>'3. DMF Progress'!AN30</f>
        <v>0.184</v>
      </c>
      <c r="AC68" s="397" t="s">
        <v>858</v>
      </c>
      <c r="AD68" s="617">
        <f>'3. DMF Progress'!U30</f>
        <v>12.800000000000002</v>
      </c>
      <c r="AE68" s="740">
        <f>'3. DMF Progress'!AO30</f>
        <v>0.25600000000000001</v>
      </c>
      <c r="AF68" s="654">
        <f t="shared" si="21"/>
        <v>5</v>
      </c>
      <c r="AG68" s="617"/>
      <c r="AH68" s="400">
        <f t="shared" si="0"/>
        <v>0</v>
      </c>
      <c r="AI68" s="397"/>
      <c r="AK68" s="611">
        <f>W68+Z68+AF68</f>
        <v>7.5</v>
      </c>
      <c r="AL68" s="612">
        <f>X68+AA68+AG68</f>
        <v>14.600000000000001</v>
      </c>
      <c r="AM68" s="688">
        <f>Y68+AB68+AH68</f>
        <v>0.29200000000000004</v>
      </c>
    </row>
    <row r="69" spans="1:39" ht="60.75" customHeight="1">
      <c r="A69" s="496"/>
      <c r="B69" s="497"/>
      <c r="C69" s="497"/>
      <c r="D69" s="497"/>
      <c r="E69" s="529" t="s">
        <v>624</v>
      </c>
      <c r="F69" s="667"/>
      <c r="G69" s="504"/>
      <c r="H69" s="499"/>
      <c r="I69" s="504"/>
      <c r="J69" s="390" t="s">
        <v>366</v>
      </c>
      <c r="K69" s="390" t="s">
        <v>229</v>
      </c>
      <c r="L69" s="416" t="s">
        <v>134</v>
      </c>
      <c r="M69" s="505">
        <v>0</v>
      </c>
      <c r="N69" s="501">
        <f>N68/2</f>
        <v>15</v>
      </c>
      <c r="O69" s="505">
        <v>0</v>
      </c>
      <c r="P69" s="505">
        <f>P68/2</f>
        <v>0</v>
      </c>
      <c r="Q69" s="505">
        <f t="shared" ref="Q69:T69" si="24">Q68/2</f>
        <v>5</v>
      </c>
      <c r="R69" s="505">
        <f t="shared" si="24"/>
        <v>5</v>
      </c>
      <c r="S69" s="505">
        <f t="shared" si="24"/>
        <v>5</v>
      </c>
      <c r="T69" s="505">
        <f t="shared" si="24"/>
        <v>0</v>
      </c>
      <c r="U69" s="502"/>
      <c r="V69" s="502"/>
      <c r="W69" s="603"/>
      <c r="X69" s="597"/>
      <c r="Y69" s="602"/>
      <c r="Z69" s="654">
        <f t="shared" si="20"/>
        <v>1.25</v>
      </c>
      <c r="AA69" s="617"/>
      <c r="AB69" s="1137">
        <f>'Output 3'!CU31/100</f>
        <v>0</v>
      </c>
      <c r="AC69" s="397" t="s">
        <v>857</v>
      </c>
      <c r="AD69" s="617"/>
      <c r="AE69" s="1137">
        <f>'Output 3'!DC31/100</f>
        <v>0</v>
      </c>
      <c r="AF69" s="654">
        <f t="shared" si="21"/>
        <v>2.5</v>
      </c>
      <c r="AG69" s="617"/>
      <c r="AH69" s="400"/>
      <c r="AI69" s="397"/>
      <c r="AK69" s="611"/>
      <c r="AL69" s="612"/>
      <c r="AM69" s="613"/>
    </row>
    <row r="70" spans="1:39" ht="67.5" customHeight="1">
      <c r="A70" s="496"/>
      <c r="B70" s="497"/>
      <c r="C70" s="497"/>
      <c r="D70" s="497"/>
      <c r="E70" s="584" t="s">
        <v>625</v>
      </c>
      <c r="F70" s="667"/>
      <c r="G70" s="504"/>
      <c r="H70" s="499"/>
      <c r="I70" s="504"/>
      <c r="J70" s="390" t="s">
        <v>366</v>
      </c>
      <c r="K70" s="390" t="s">
        <v>229</v>
      </c>
      <c r="L70" s="416" t="s">
        <v>435</v>
      </c>
      <c r="M70" s="505">
        <v>0</v>
      </c>
      <c r="N70" s="501">
        <f>N68/2</f>
        <v>15</v>
      </c>
      <c r="O70" s="505">
        <v>0</v>
      </c>
      <c r="P70" s="505">
        <f>P68/2</f>
        <v>0</v>
      </c>
      <c r="Q70" s="505">
        <f t="shared" ref="Q70:T70" si="25">Q68/2</f>
        <v>5</v>
      </c>
      <c r="R70" s="505">
        <f t="shared" si="25"/>
        <v>5</v>
      </c>
      <c r="S70" s="505">
        <f t="shared" si="25"/>
        <v>5</v>
      </c>
      <c r="T70" s="505">
        <f t="shared" si="25"/>
        <v>0</v>
      </c>
      <c r="U70" s="502"/>
      <c r="V70" s="502"/>
      <c r="W70" s="603"/>
      <c r="X70" s="597"/>
      <c r="Y70" s="602"/>
      <c r="Z70" s="654">
        <f t="shared" si="20"/>
        <v>1.25</v>
      </c>
      <c r="AA70" s="617"/>
      <c r="AB70" s="1137">
        <f>'Output 3'!CU32/100</f>
        <v>0</v>
      </c>
      <c r="AC70" s="397" t="s">
        <v>857</v>
      </c>
      <c r="AD70" s="617"/>
      <c r="AE70" s="1137">
        <f>'Output 3'!DC32/100</f>
        <v>0</v>
      </c>
      <c r="AF70" s="654">
        <f t="shared" si="21"/>
        <v>2.5</v>
      </c>
      <c r="AG70" s="617"/>
      <c r="AH70" s="400"/>
      <c r="AI70" s="397"/>
      <c r="AK70" s="611"/>
      <c r="AL70" s="612"/>
      <c r="AM70" s="613"/>
    </row>
    <row r="71" spans="1:39" ht="55.5" customHeight="1">
      <c r="A71" s="496">
        <v>18</v>
      </c>
      <c r="B71" s="497" t="s">
        <v>453</v>
      </c>
      <c r="C71" s="497" t="s">
        <v>449</v>
      </c>
      <c r="D71" s="497"/>
      <c r="E71" s="528" t="s">
        <v>659</v>
      </c>
      <c r="F71" s="668" t="s">
        <v>679</v>
      </c>
      <c r="G71" s="504" t="s">
        <v>368</v>
      </c>
      <c r="H71" s="499" t="s">
        <v>660</v>
      </c>
      <c r="I71" s="504"/>
      <c r="J71" s="390" t="s">
        <v>366</v>
      </c>
      <c r="K71" s="390" t="s">
        <v>229</v>
      </c>
      <c r="L71" s="416" t="s">
        <v>436</v>
      </c>
      <c r="M71" s="505">
        <v>0</v>
      </c>
      <c r="N71" s="501">
        <v>20000</v>
      </c>
      <c r="O71" s="505">
        <v>0</v>
      </c>
      <c r="P71" s="505">
        <v>0</v>
      </c>
      <c r="Q71" s="505">
        <v>10000</v>
      </c>
      <c r="R71" s="505">
        <v>6000</v>
      </c>
      <c r="S71" s="505">
        <v>6000</v>
      </c>
      <c r="T71" s="505">
        <v>2500</v>
      </c>
      <c r="U71" s="502"/>
      <c r="V71" s="502">
        <f>'DMF PI Links Physical Prog.S1'!Q73</f>
        <v>2</v>
      </c>
      <c r="W71" s="603"/>
      <c r="X71" s="597">
        <f>'3. DMF Progress'!E31</f>
        <v>4.5</v>
      </c>
      <c r="Y71" s="602">
        <f>'3. DMF Progress'!F31</f>
        <v>0.09</v>
      </c>
      <c r="Z71" s="654">
        <f t="shared" si="20"/>
        <v>2500</v>
      </c>
      <c r="AA71" s="617">
        <f>'3. DMF Progress'!T31</f>
        <v>10.600000000000001</v>
      </c>
      <c r="AB71" s="740">
        <f>'3. DMF Progress'!AN31</f>
        <v>0.21200000000000002</v>
      </c>
      <c r="AC71" s="397" t="s">
        <v>859</v>
      </c>
      <c r="AD71" s="617">
        <f>'3. DMF Progress'!U31</f>
        <v>11.500000000000002</v>
      </c>
      <c r="AE71" s="740">
        <f>'3. DMF Progress'!AO31</f>
        <v>0.23</v>
      </c>
      <c r="AF71" s="654">
        <f t="shared" si="21"/>
        <v>5000</v>
      </c>
      <c r="AG71" s="617"/>
      <c r="AH71" s="400">
        <f t="shared" si="0"/>
        <v>0</v>
      </c>
      <c r="AI71" s="397"/>
      <c r="AK71" s="611">
        <f t="shared" ref="AK71:AM72" si="26">W71+Z71+AF71</f>
        <v>7500</v>
      </c>
      <c r="AL71" s="612">
        <f t="shared" si="26"/>
        <v>15.100000000000001</v>
      </c>
      <c r="AM71" s="688">
        <f t="shared" si="26"/>
        <v>0.30200000000000005</v>
      </c>
    </row>
    <row r="72" spans="1:39" ht="74.25" customHeight="1">
      <c r="A72" s="496">
        <v>19</v>
      </c>
      <c r="B72" s="497" t="s">
        <v>454</v>
      </c>
      <c r="C72" s="497" t="s">
        <v>448</v>
      </c>
      <c r="D72" s="497"/>
      <c r="E72" s="528" t="s">
        <v>409</v>
      </c>
      <c r="F72" s="668" t="s">
        <v>679</v>
      </c>
      <c r="G72" s="504" t="s">
        <v>368</v>
      </c>
      <c r="H72" s="499" t="s">
        <v>660</v>
      </c>
      <c r="I72" s="504"/>
      <c r="J72" s="415" t="s">
        <v>366</v>
      </c>
      <c r="K72" s="415" t="s">
        <v>229</v>
      </c>
      <c r="L72" s="416" t="s">
        <v>700</v>
      </c>
      <c r="M72" s="505">
        <v>0</v>
      </c>
      <c r="N72" s="501">
        <v>1</v>
      </c>
      <c r="O72" s="505">
        <v>0</v>
      </c>
      <c r="P72" s="505">
        <v>0</v>
      </c>
      <c r="Q72" s="631">
        <v>0.3</v>
      </c>
      <c r="R72" s="631">
        <v>0.3</v>
      </c>
      <c r="S72" s="631">
        <v>0.3</v>
      </c>
      <c r="T72" s="631">
        <v>0.1</v>
      </c>
      <c r="U72" s="502"/>
      <c r="V72" s="502">
        <f>'DMF PI Links Physical Prog.S1'!Q74</f>
        <v>2</v>
      </c>
      <c r="W72" s="603"/>
      <c r="X72" s="597">
        <f>'3. DMF Progress'!E32</f>
        <v>4.5</v>
      </c>
      <c r="Y72" s="602">
        <f>'3. DMF Progress'!F32</f>
        <v>0.09</v>
      </c>
      <c r="Z72" s="654">
        <f t="shared" si="20"/>
        <v>7.4999999999999997E-2</v>
      </c>
      <c r="AA72" s="617">
        <f>'3. DMF Progress'!T32</f>
        <v>0</v>
      </c>
      <c r="AB72" s="740">
        <f>'3. DMF Progress'!AN32</f>
        <v>0</v>
      </c>
      <c r="AC72" s="397" t="s">
        <v>860</v>
      </c>
      <c r="AD72" s="617">
        <f>'3. DMF Progress'!U32</f>
        <v>0.75</v>
      </c>
      <c r="AE72" s="740">
        <f>'3. DMF Progress'!AO32</f>
        <v>1.4999999999999999E-2</v>
      </c>
      <c r="AF72" s="654">
        <f t="shared" si="21"/>
        <v>0.15</v>
      </c>
      <c r="AG72" s="617"/>
      <c r="AH72" s="400">
        <f t="shared" si="0"/>
        <v>0</v>
      </c>
      <c r="AI72" s="397"/>
      <c r="AK72" s="611">
        <f t="shared" si="26"/>
        <v>0.22499999999999998</v>
      </c>
      <c r="AL72" s="612">
        <f t="shared" si="26"/>
        <v>4.5</v>
      </c>
      <c r="AM72" s="688">
        <f t="shared" si="26"/>
        <v>0.09</v>
      </c>
    </row>
    <row r="73" spans="1:39" ht="47.25" customHeight="1">
      <c r="A73" s="496"/>
      <c r="B73" s="497" t="s">
        <v>675</v>
      </c>
      <c r="C73" s="497" t="s">
        <v>673</v>
      </c>
      <c r="D73" s="660" t="s">
        <v>674</v>
      </c>
      <c r="E73" s="528" t="s">
        <v>18</v>
      </c>
      <c r="F73" s="668" t="s">
        <v>679</v>
      </c>
      <c r="G73" s="504"/>
      <c r="H73" s="499"/>
      <c r="I73" s="504"/>
      <c r="J73" s="415"/>
      <c r="K73" s="415"/>
      <c r="L73" s="416" t="s">
        <v>700</v>
      </c>
      <c r="M73" s="505"/>
      <c r="N73" s="501">
        <v>1</v>
      </c>
      <c r="O73" s="505">
        <v>0</v>
      </c>
      <c r="P73" s="505">
        <v>0</v>
      </c>
      <c r="Q73" s="631">
        <v>0.3</v>
      </c>
      <c r="R73" s="631">
        <v>0.3</v>
      </c>
      <c r="S73" s="631">
        <v>0.3</v>
      </c>
      <c r="T73" s="631">
        <v>0.1</v>
      </c>
      <c r="U73" s="502"/>
      <c r="V73" s="502">
        <f>'DMF PI Links Physical Prog.S1'!Q75</f>
        <v>3</v>
      </c>
      <c r="W73" s="500"/>
      <c r="X73" s="597">
        <f>'3. DMF Progress'!E33</f>
        <v>6.9</v>
      </c>
      <c r="Y73" s="602">
        <f>'3. DMF Progress'!F33</f>
        <v>0.20700000000000002</v>
      </c>
      <c r="Z73" s="654">
        <f t="shared" si="20"/>
        <v>7.4999999999999997E-2</v>
      </c>
      <c r="AA73" s="741">
        <f>'3. DMF Progress'!T33</f>
        <v>7.15</v>
      </c>
      <c r="AB73" s="740">
        <f>'3. DMF Progress'!AN33</f>
        <v>0.21450000000000002</v>
      </c>
      <c r="AC73" s="397"/>
      <c r="AD73" s="741">
        <f>'3. DMF Progress'!U33</f>
        <v>18.150000000000002</v>
      </c>
      <c r="AE73" s="740">
        <f>'3. DMF Progress'!AO33</f>
        <v>0.54449999999999998</v>
      </c>
      <c r="AF73" s="654"/>
      <c r="AG73" s="617"/>
      <c r="AH73" s="400"/>
      <c r="AI73" s="397"/>
      <c r="AK73" s="611"/>
      <c r="AL73" s="612"/>
      <c r="AM73" s="613"/>
    </row>
    <row r="74" spans="1:39" ht="1.5" customHeight="1">
      <c r="A74" s="520"/>
      <c r="B74" s="521"/>
      <c r="C74" s="521"/>
      <c r="D74" s="521"/>
      <c r="E74" s="522"/>
      <c r="F74" s="522"/>
      <c r="G74" s="523"/>
      <c r="H74" s="524"/>
      <c r="I74" s="523"/>
      <c r="J74" s="525"/>
      <c r="K74" s="525"/>
      <c r="L74" s="604"/>
      <c r="M74" s="604"/>
      <c r="N74" s="604"/>
      <c r="O74" s="604"/>
      <c r="P74" s="604"/>
      <c r="Q74" s="604"/>
      <c r="R74" s="604"/>
      <c r="S74" s="604"/>
      <c r="T74" s="604"/>
      <c r="U74" s="598"/>
      <c r="V74" s="701"/>
      <c r="W74" s="604"/>
      <c r="X74" s="598"/>
      <c r="Y74" s="604"/>
      <c r="Z74" s="604"/>
      <c r="AA74" s="604"/>
      <c r="AB74" s="526" t="e">
        <f t="shared" ref="AB74:AB142" si="27">AA74/Z74</f>
        <v>#DIV/0!</v>
      </c>
      <c r="AC74" s="522"/>
      <c r="AD74" s="1115"/>
      <c r="AE74" s="1115"/>
      <c r="AF74" s="616">
        <f>P74/2</f>
        <v>0</v>
      </c>
      <c r="AG74" s="617"/>
      <c r="AH74" s="526" t="e">
        <f t="shared" si="0"/>
        <v>#DIV/0!</v>
      </c>
      <c r="AI74" s="522"/>
      <c r="AK74" s="611"/>
      <c r="AL74" s="612"/>
      <c r="AM74" s="613"/>
    </row>
    <row r="75" spans="1:39" ht="35.1" hidden="1" customHeight="1">
      <c r="A75" s="506"/>
      <c r="B75" s="497"/>
      <c r="C75" s="497"/>
      <c r="D75" s="497"/>
      <c r="E75" s="512" t="s">
        <v>533</v>
      </c>
      <c r="F75" s="500"/>
      <c r="G75" s="500"/>
      <c r="H75" s="500"/>
      <c r="I75" s="500"/>
      <c r="J75" s="500"/>
      <c r="K75" s="500"/>
      <c r="L75" s="500"/>
      <c r="M75" s="500"/>
      <c r="N75" s="501"/>
      <c r="O75" s="505"/>
      <c r="P75" s="505"/>
      <c r="Q75" s="505"/>
      <c r="R75" s="505"/>
      <c r="S75" s="505"/>
      <c r="T75" s="505"/>
      <c r="U75" s="502"/>
      <c r="V75" s="502"/>
      <c r="W75" s="603"/>
      <c r="X75" s="500"/>
      <c r="Y75" s="608"/>
      <c r="Z75" s="616"/>
      <c r="AA75" s="617"/>
      <c r="AB75" s="400"/>
      <c r="AC75" s="397"/>
      <c r="AD75" s="1113"/>
      <c r="AE75" s="1113"/>
      <c r="AF75" s="616"/>
      <c r="AG75" s="617"/>
      <c r="AH75" s="400"/>
      <c r="AI75" s="397"/>
      <c r="AK75" s="611"/>
      <c r="AL75" s="612"/>
      <c r="AM75" s="613"/>
    </row>
    <row r="76" spans="1:39" s="572" customFormat="1" ht="35.1" hidden="1" customHeight="1">
      <c r="A76" s="574"/>
      <c r="B76" s="560"/>
      <c r="C76" s="560"/>
      <c r="D76" s="560"/>
      <c r="E76" s="561" t="s">
        <v>532</v>
      </c>
      <c r="F76" s="562"/>
      <c r="G76" s="563"/>
      <c r="H76" s="564"/>
      <c r="I76" s="563"/>
      <c r="J76" s="565"/>
      <c r="K76" s="565"/>
      <c r="L76" s="566"/>
      <c r="M76" s="567"/>
      <c r="N76" s="568"/>
      <c r="O76" s="567"/>
      <c r="P76" s="567"/>
      <c r="Q76" s="567"/>
      <c r="R76" s="567"/>
      <c r="S76" s="567"/>
      <c r="T76" s="567"/>
      <c r="U76" s="569"/>
      <c r="V76" s="569"/>
      <c r="W76" s="662"/>
      <c r="X76" s="614"/>
      <c r="Y76" s="663"/>
      <c r="Z76" s="627"/>
      <c r="AA76" s="628"/>
      <c r="AB76" s="630"/>
      <c r="AC76" s="562"/>
      <c r="AD76" s="1114"/>
      <c r="AE76" s="1114"/>
      <c r="AF76" s="627"/>
      <c r="AG76" s="628"/>
      <c r="AH76" s="630"/>
      <c r="AI76" s="562"/>
      <c r="AK76" s="611"/>
      <c r="AL76" s="612"/>
      <c r="AM76" s="613"/>
    </row>
    <row r="77" spans="1:39" s="550" customFormat="1" ht="35.1" hidden="1" customHeight="1">
      <c r="A77" s="573"/>
      <c r="B77" s="542"/>
      <c r="C77" s="542"/>
      <c r="D77" s="542"/>
      <c r="E77" s="518" t="s">
        <v>534</v>
      </c>
      <c r="F77" s="543"/>
      <c r="G77" s="544"/>
      <c r="H77" s="545"/>
      <c r="I77" s="544"/>
      <c r="J77" s="546"/>
      <c r="K77" s="546"/>
      <c r="L77" s="547"/>
      <c r="M77" s="548"/>
      <c r="N77" s="549"/>
      <c r="O77" s="406"/>
      <c r="P77" s="406"/>
      <c r="Q77" s="406"/>
      <c r="R77" s="406"/>
      <c r="S77" s="406"/>
      <c r="T77" s="406"/>
      <c r="U77" s="409"/>
      <c r="V77" s="409"/>
      <c r="W77" s="622"/>
      <c r="X77" s="623"/>
      <c r="Y77" s="624"/>
      <c r="Z77" s="625"/>
      <c r="AA77" s="617"/>
      <c r="AB77" s="626"/>
      <c r="AC77" s="543"/>
      <c r="AD77" s="1116"/>
      <c r="AE77" s="1116"/>
      <c r="AF77" s="625"/>
      <c r="AG77" s="617"/>
      <c r="AH77" s="626"/>
      <c r="AI77" s="543"/>
      <c r="AK77" s="611"/>
      <c r="AL77" s="612"/>
      <c r="AM77" s="613"/>
    </row>
    <row r="78" spans="1:39" ht="121.15" hidden="1" customHeight="1">
      <c r="A78" s="496">
        <v>20</v>
      </c>
      <c r="B78" s="497"/>
      <c r="C78" s="497" t="s">
        <v>517</v>
      </c>
      <c r="D78" s="497"/>
      <c r="E78" s="528" t="s">
        <v>554</v>
      </c>
      <c r="F78" s="668" t="s">
        <v>679</v>
      </c>
      <c r="G78" s="403" t="s">
        <v>607</v>
      </c>
      <c r="H78" s="404" t="s">
        <v>604</v>
      </c>
      <c r="I78" s="403" t="s">
        <v>531</v>
      </c>
      <c r="J78" s="390"/>
      <c r="K78" s="390"/>
      <c r="L78" s="416"/>
      <c r="M78" s="517" t="s">
        <v>515</v>
      </c>
      <c r="N78" s="408"/>
      <c r="O78" s="505"/>
      <c r="P78" s="505"/>
      <c r="Q78" s="505"/>
      <c r="R78" s="505"/>
      <c r="S78" s="505"/>
      <c r="T78" s="505"/>
      <c r="U78" s="502"/>
      <c r="V78" s="502"/>
      <c r="W78" s="603"/>
      <c r="X78" s="597"/>
      <c r="Y78" s="602"/>
      <c r="Z78" s="654">
        <f t="shared" ref="Z78:Z84" si="28">Q78/2</f>
        <v>0</v>
      </c>
      <c r="AA78" s="617"/>
      <c r="AB78" s="400" t="e">
        <f t="shared" si="27"/>
        <v>#DIV/0!</v>
      </c>
      <c r="AC78" s="397"/>
      <c r="AD78" s="1113"/>
      <c r="AE78" s="1113"/>
      <c r="AF78" s="654">
        <f t="shared" ref="AF78:AF84" si="29">Q78/2</f>
        <v>0</v>
      </c>
      <c r="AG78" s="617"/>
      <c r="AH78" s="400" t="e">
        <f t="shared" si="0"/>
        <v>#DIV/0!</v>
      </c>
      <c r="AI78" s="397"/>
      <c r="AK78" s="611"/>
      <c r="AL78" s="612"/>
      <c r="AM78" s="613"/>
    </row>
    <row r="79" spans="1:39" ht="33" hidden="1" customHeight="1">
      <c r="A79" s="506"/>
      <c r="B79" s="497"/>
      <c r="C79" s="497" t="s">
        <v>561</v>
      </c>
      <c r="D79" s="497"/>
      <c r="E79" s="503" t="s">
        <v>556</v>
      </c>
      <c r="F79" s="667"/>
      <c r="G79" s="403"/>
      <c r="H79" s="404"/>
      <c r="I79" s="403"/>
      <c r="J79" s="390" t="s">
        <v>365</v>
      </c>
      <c r="K79" s="390" t="s">
        <v>229</v>
      </c>
      <c r="L79" s="416" t="s">
        <v>362</v>
      </c>
      <c r="M79" s="517" t="s">
        <v>515</v>
      </c>
      <c r="N79" s="408">
        <v>40</v>
      </c>
      <c r="O79" s="505"/>
      <c r="P79" s="505"/>
      <c r="Q79" s="505"/>
      <c r="R79" s="505"/>
      <c r="S79" s="505"/>
      <c r="T79" s="505"/>
      <c r="U79" s="502"/>
      <c r="V79" s="502"/>
      <c r="W79" s="603"/>
      <c r="X79" s="597"/>
      <c r="Y79" s="602"/>
      <c r="Z79" s="654">
        <f t="shared" si="28"/>
        <v>0</v>
      </c>
      <c r="AA79" s="617"/>
      <c r="AB79" s="400" t="e">
        <f t="shared" si="27"/>
        <v>#DIV/0!</v>
      </c>
      <c r="AC79" s="397"/>
      <c r="AD79" s="1113"/>
      <c r="AE79" s="1113"/>
      <c r="AF79" s="654">
        <f t="shared" si="29"/>
        <v>0</v>
      </c>
      <c r="AG79" s="617"/>
      <c r="AH79" s="400" t="e">
        <f t="shared" si="0"/>
        <v>#DIV/0!</v>
      </c>
      <c r="AI79" s="397"/>
      <c r="AK79" s="611"/>
      <c r="AL79" s="612"/>
      <c r="AM79" s="613"/>
    </row>
    <row r="80" spans="1:39" ht="33" hidden="1" customHeight="1">
      <c r="A80" s="506"/>
      <c r="B80" s="497"/>
      <c r="C80" s="497"/>
      <c r="D80" s="497"/>
      <c r="E80" s="503" t="s">
        <v>558</v>
      </c>
      <c r="F80" s="667"/>
      <c r="G80" s="403"/>
      <c r="H80" s="404"/>
      <c r="I80" s="403"/>
      <c r="J80" s="390" t="s">
        <v>365</v>
      </c>
      <c r="K80" s="390" t="s">
        <v>229</v>
      </c>
      <c r="L80" s="416" t="s">
        <v>362</v>
      </c>
      <c r="M80" s="517" t="s">
        <v>515</v>
      </c>
      <c r="N80" s="408">
        <v>54</v>
      </c>
      <c r="O80" s="505"/>
      <c r="P80" s="505"/>
      <c r="Q80" s="505"/>
      <c r="R80" s="505"/>
      <c r="S80" s="505"/>
      <c r="T80" s="505"/>
      <c r="U80" s="502"/>
      <c r="V80" s="502"/>
      <c r="W80" s="603"/>
      <c r="X80" s="597"/>
      <c r="Y80" s="602"/>
      <c r="Z80" s="654">
        <f t="shared" si="28"/>
        <v>0</v>
      </c>
      <c r="AA80" s="617"/>
      <c r="AB80" s="400"/>
      <c r="AC80" s="397"/>
      <c r="AD80" s="1113"/>
      <c r="AE80" s="1113"/>
      <c r="AF80" s="654">
        <f t="shared" si="29"/>
        <v>0</v>
      </c>
      <c r="AG80" s="617"/>
      <c r="AH80" s="400"/>
      <c r="AI80" s="397"/>
      <c r="AK80" s="611"/>
      <c r="AL80" s="612"/>
      <c r="AM80" s="613"/>
    </row>
    <row r="81" spans="1:39" ht="33" hidden="1" customHeight="1">
      <c r="A81" s="506"/>
      <c r="B81" s="497"/>
      <c r="C81" s="497"/>
      <c r="D81" s="497"/>
      <c r="E81" s="503" t="s">
        <v>559</v>
      </c>
      <c r="F81" s="667"/>
      <c r="G81" s="403"/>
      <c r="H81" s="404"/>
      <c r="I81" s="403"/>
      <c r="J81" s="390" t="s">
        <v>365</v>
      </c>
      <c r="K81" s="390" t="s">
        <v>229</v>
      </c>
      <c r="L81" s="416" t="s">
        <v>362</v>
      </c>
      <c r="M81" s="517" t="s">
        <v>515</v>
      </c>
      <c r="N81" s="408">
        <v>47</v>
      </c>
      <c r="O81" s="505"/>
      <c r="P81" s="505"/>
      <c r="Q81" s="505"/>
      <c r="R81" s="505"/>
      <c r="S81" s="505"/>
      <c r="T81" s="505"/>
      <c r="U81" s="502"/>
      <c r="V81" s="502"/>
      <c r="W81" s="603"/>
      <c r="X81" s="597"/>
      <c r="Y81" s="602"/>
      <c r="Z81" s="654">
        <f t="shared" si="28"/>
        <v>0</v>
      </c>
      <c r="AA81" s="617"/>
      <c r="AB81" s="400"/>
      <c r="AC81" s="397"/>
      <c r="AD81" s="1113"/>
      <c r="AE81" s="1113"/>
      <c r="AF81" s="654">
        <f t="shared" si="29"/>
        <v>0</v>
      </c>
      <c r="AG81" s="617"/>
      <c r="AH81" s="400"/>
      <c r="AI81" s="397"/>
      <c r="AK81" s="611"/>
      <c r="AL81" s="612"/>
      <c r="AM81" s="613"/>
    </row>
    <row r="82" spans="1:39" ht="33" hidden="1" customHeight="1">
      <c r="A82" s="506"/>
      <c r="B82" s="497"/>
      <c r="C82" s="497"/>
      <c r="D82" s="497"/>
      <c r="E82" s="503" t="s">
        <v>560</v>
      </c>
      <c r="F82" s="667"/>
      <c r="G82" s="403"/>
      <c r="H82" s="404"/>
      <c r="I82" s="403"/>
      <c r="J82" s="390" t="s">
        <v>365</v>
      </c>
      <c r="K82" s="390" t="s">
        <v>229</v>
      </c>
      <c r="L82" s="416" t="s">
        <v>362</v>
      </c>
      <c r="M82" s="517" t="s">
        <v>515</v>
      </c>
      <c r="N82" s="408">
        <v>48</v>
      </c>
      <c r="O82" s="505"/>
      <c r="P82" s="505"/>
      <c r="Q82" s="505"/>
      <c r="R82" s="505"/>
      <c r="S82" s="505"/>
      <c r="T82" s="505"/>
      <c r="U82" s="502"/>
      <c r="V82" s="502"/>
      <c r="W82" s="603"/>
      <c r="X82" s="597"/>
      <c r="Y82" s="602"/>
      <c r="Z82" s="654">
        <f t="shared" si="28"/>
        <v>0</v>
      </c>
      <c r="AA82" s="617"/>
      <c r="AB82" s="400"/>
      <c r="AC82" s="397"/>
      <c r="AD82" s="1113"/>
      <c r="AE82" s="1113"/>
      <c r="AF82" s="654">
        <f t="shared" si="29"/>
        <v>0</v>
      </c>
      <c r="AG82" s="617"/>
      <c r="AH82" s="400"/>
      <c r="AI82" s="397"/>
      <c r="AK82" s="611"/>
      <c r="AL82" s="612"/>
      <c r="AM82" s="613"/>
    </row>
    <row r="83" spans="1:39" ht="33" hidden="1" customHeight="1">
      <c r="A83" s="506"/>
      <c r="B83" s="497"/>
      <c r="C83" s="497"/>
      <c r="D83" s="497"/>
      <c r="E83" s="503" t="s">
        <v>557</v>
      </c>
      <c r="F83" s="667"/>
      <c r="G83" s="403"/>
      <c r="H83" s="404"/>
      <c r="I83" s="403"/>
      <c r="J83" s="390" t="s">
        <v>365</v>
      </c>
      <c r="K83" s="390" t="s">
        <v>229</v>
      </c>
      <c r="L83" s="416" t="s">
        <v>362</v>
      </c>
      <c r="M83" s="517" t="s">
        <v>515</v>
      </c>
      <c r="N83" s="408">
        <v>30</v>
      </c>
      <c r="O83" s="505"/>
      <c r="P83" s="505"/>
      <c r="Q83" s="505"/>
      <c r="R83" s="505"/>
      <c r="S83" s="505"/>
      <c r="T83" s="505"/>
      <c r="U83" s="502"/>
      <c r="V83" s="502"/>
      <c r="W83" s="603"/>
      <c r="X83" s="597"/>
      <c r="Y83" s="602"/>
      <c r="Z83" s="654">
        <f t="shared" si="28"/>
        <v>0</v>
      </c>
      <c r="AA83" s="617"/>
      <c r="AB83" s="400"/>
      <c r="AC83" s="397"/>
      <c r="AD83" s="1113"/>
      <c r="AE83" s="1113"/>
      <c r="AF83" s="654">
        <f t="shared" si="29"/>
        <v>0</v>
      </c>
      <c r="AG83" s="617"/>
      <c r="AH83" s="400"/>
      <c r="AI83" s="397"/>
      <c r="AK83" s="611"/>
      <c r="AL83" s="612"/>
      <c r="AM83" s="613"/>
    </row>
    <row r="84" spans="1:39" ht="56.45" hidden="1" customHeight="1">
      <c r="A84" s="506"/>
      <c r="B84" s="497"/>
      <c r="C84" s="497" t="s">
        <v>562</v>
      </c>
      <c r="D84" s="497"/>
      <c r="E84" s="503" t="s">
        <v>555</v>
      </c>
      <c r="F84" s="667"/>
      <c r="G84" s="403"/>
      <c r="H84" s="404"/>
      <c r="I84" s="403"/>
      <c r="J84" s="390" t="s">
        <v>365</v>
      </c>
      <c r="K84" s="390" t="s">
        <v>229</v>
      </c>
      <c r="L84" s="416" t="s">
        <v>134</v>
      </c>
      <c r="M84" s="517" t="s">
        <v>515</v>
      </c>
      <c r="N84" s="408">
        <v>50000</v>
      </c>
      <c r="O84" s="505"/>
      <c r="P84" s="505"/>
      <c r="Q84" s="505"/>
      <c r="R84" s="505"/>
      <c r="S84" s="505"/>
      <c r="T84" s="505"/>
      <c r="U84" s="502"/>
      <c r="V84" s="502"/>
      <c r="W84" s="603"/>
      <c r="X84" s="597"/>
      <c r="Y84" s="602"/>
      <c r="Z84" s="654">
        <f t="shared" si="28"/>
        <v>0</v>
      </c>
      <c r="AA84" s="617"/>
      <c r="AB84" s="400"/>
      <c r="AC84" s="397"/>
      <c r="AD84" s="1113"/>
      <c r="AE84" s="1113"/>
      <c r="AF84" s="654">
        <f t="shared" si="29"/>
        <v>0</v>
      </c>
      <c r="AG84" s="617"/>
      <c r="AH84" s="400"/>
      <c r="AI84" s="397"/>
      <c r="AK84" s="611"/>
      <c r="AL84" s="612"/>
      <c r="AM84" s="613"/>
    </row>
    <row r="85" spans="1:39" s="550" customFormat="1" ht="35.1" hidden="1" customHeight="1">
      <c r="A85" s="573"/>
      <c r="B85" s="542"/>
      <c r="C85" s="542"/>
      <c r="D85" s="542"/>
      <c r="E85" s="518" t="s">
        <v>535</v>
      </c>
      <c r="F85" s="543"/>
      <c r="G85" s="544"/>
      <c r="H85" s="545"/>
      <c r="I85" s="544"/>
      <c r="J85" s="546"/>
      <c r="K85" s="546"/>
      <c r="L85" s="547"/>
      <c r="M85" s="548"/>
      <c r="N85" s="549"/>
      <c r="O85" s="406"/>
      <c r="P85" s="406"/>
      <c r="Q85" s="406"/>
      <c r="R85" s="406"/>
      <c r="S85" s="406"/>
      <c r="T85" s="406"/>
      <c r="U85" s="409"/>
      <c r="V85" s="409"/>
      <c r="W85" s="622"/>
      <c r="X85" s="623"/>
      <c r="Y85" s="624"/>
      <c r="Z85" s="625"/>
      <c r="AA85" s="617"/>
      <c r="AB85" s="626"/>
      <c r="AC85" s="543"/>
      <c r="AD85" s="1116"/>
      <c r="AE85" s="1116"/>
      <c r="AF85" s="625"/>
      <c r="AG85" s="617"/>
      <c r="AH85" s="626"/>
      <c r="AI85" s="543"/>
      <c r="AK85" s="611"/>
      <c r="AL85" s="612"/>
      <c r="AM85" s="613"/>
    </row>
    <row r="86" spans="1:39" ht="94.15" hidden="1" customHeight="1">
      <c r="A86" s="496">
        <v>21</v>
      </c>
      <c r="B86" s="497"/>
      <c r="C86" s="497" t="s">
        <v>529</v>
      </c>
      <c r="D86" s="497"/>
      <c r="E86" s="528" t="s">
        <v>563</v>
      </c>
      <c r="F86" s="668" t="s">
        <v>679</v>
      </c>
      <c r="G86" s="403" t="s">
        <v>607</v>
      </c>
      <c r="H86" s="404" t="s">
        <v>604</v>
      </c>
      <c r="I86" s="403" t="s">
        <v>530</v>
      </c>
      <c r="J86" s="390" t="s">
        <v>365</v>
      </c>
      <c r="K86" s="390" t="s">
        <v>229</v>
      </c>
      <c r="L86" s="416" t="s">
        <v>362</v>
      </c>
      <c r="M86" s="508" t="s">
        <v>515</v>
      </c>
      <c r="N86" s="408">
        <v>25</v>
      </c>
      <c r="O86" s="505"/>
      <c r="P86" s="505"/>
      <c r="Q86" s="505"/>
      <c r="R86" s="505"/>
      <c r="S86" s="505"/>
      <c r="T86" s="505"/>
      <c r="U86" s="502"/>
      <c r="V86" s="502"/>
      <c r="W86" s="603"/>
      <c r="X86" s="597"/>
      <c r="Y86" s="602"/>
      <c r="Z86" s="654">
        <f>Q86/2</f>
        <v>0</v>
      </c>
      <c r="AA86" s="617"/>
      <c r="AB86" s="400" t="e">
        <f t="shared" si="27"/>
        <v>#DIV/0!</v>
      </c>
      <c r="AC86" s="397"/>
      <c r="AD86" s="1113"/>
      <c r="AE86" s="1113"/>
      <c r="AF86" s="654">
        <f>Q86/2</f>
        <v>0</v>
      </c>
      <c r="AG86" s="617"/>
      <c r="AH86" s="400" t="e">
        <f t="shared" si="0"/>
        <v>#DIV/0!</v>
      </c>
      <c r="AI86" s="397"/>
      <c r="AK86" s="611"/>
      <c r="AL86" s="612"/>
      <c r="AM86" s="613"/>
    </row>
    <row r="87" spans="1:39" ht="42.75" hidden="1" customHeight="1">
      <c r="A87" s="506"/>
      <c r="B87" s="497"/>
      <c r="C87" s="497"/>
      <c r="D87" s="497"/>
      <c r="E87" s="529" t="s">
        <v>637</v>
      </c>
      <c r="F87" s="667"/>
      <c r="G87" s="403"/>
      <c r="H87" s="404"/>
      <c r="I87" s="403"/>
      <c r="J87" s="390" t="s">
        <v>365</v>
      </c>
      <c r="K87" s="390" t="s">
        <v>229</v>
      </c>
      <c r="L87" s="416" t="s">
        <v>362</v>
      </c>
      <c r="M87" s="508" t="s">
        <v>515</v>
      </c>
      <c r="N87" s="408">
        <v>25</v>
      </c>
      <c r="O87" s="505"/>
      <c r="P87" s="505"/>
      <c r="Q87" s="505"/>
      <c r="R87" s="505"/>
      <c r="S87" s="505"/>
      <c r="T87" s="505"/>
      <c r="U87" s="502"/>
      <c r="V87" s="502"/>
      <c r="W87" s="603"/>
      <c r="X87" s="597"/>
      <c r="Y87" s="602"/>
      <c r="Z87" s="654">
        <f>Q87/2</f>
        <v>0</v>
      </c>
      <c r="AA87" s="617"/>
      <c r="AB87" s="400"/>
      <c r="AC87" s="397"/>
      <c r="AD87" s="1113"/>
      <c r="AE87" s="1113"/>
      <c r="AF87" s="654">
        <f>Q87/2</f>
        <v>0</v>
      </c>
      <c r="AG87" s="617"/>
      <c r="AH87" s="400"/>
      <c r="AI87" s="397"/>
      <c r="AK87" s="611"/>
      <c r="AL87" s="612"/>
      <c r="AM87" s="613"/>
    </row>
    <row r="88" spans="1:39" ht="43.5" hidden="1" customHeight="1">
      <c r="A88" s="506"/>
      <c r="B88" s="497"/>
      <c r="C88" s="497"/>
      <c r="D88" s="497"/>
      <c r="E88" s="529" t="s">
        <v>638</v>
      </c>
      <c r="F88" s="667"/>
      <c r="G88" s="403"/>
      <c r="H88" s="404"/>
      <c r="I88" s="403"/>
      <c r="J88" s="390" t="s">
        <v>365</v>
      </c>
      <c r="K88" s="390" t="s">
        <v>229</v>
      </c>
      <c r="L88" s="416" t="s">
        <v>362</v>
      </c>
      <c r="M88" s="508" t="s">
        <v>515</v>
      </c>
      <c r="N88" s="408"/>
      <c r="O88" s="505"/>
      <c r="P88" s="505"/>
      <c r="Q88" s="505"/>
      <c r="R88" s="505"/>
      <c r="S88" s="505"/>
      <c r="T88" s="505"/>
      <c r="U88" s="502"/>
      <c r="V88" s="502"/>
      <c r="W88" s="603"/>
      <c r="X88" s="597"/>
      <c r="Y88" s="602"/>
      <c r="Z88" s="654">
        <f>Q88/2</f>
        <v>0</v>
      </c>
      <c r="AA88" s="617"/>
      <c r="AB88" s="400"/>
      <c r="AC88" s="397"/>
      <c r="AD88" s="1113"/>
      <c r="AE88" s="1113"/>
      <c r="AF88" s="654">
        <f>Q88/2</f>
        <v>0</v>
      </c>
      <c r="AG88" s="617"/>
      <c r="AH88" s="400"/>
      <c r="AI88" s="397"/>
      <c r="AK88" s="611"/>
      <c r="AL88" s="612"/>
      <c r="AM88" s="613"/>
    </row>
    <row r="89" spans="1:39" ht="80.25" hidden="1" customHeight="1">
      <c r="A89" s="506"/>
      <c r="B89" s="497"/>
      <c r="C89" s="497"/>
      <c r="D89" s="497"/>
      <c r="E89" s="529" t="s">
        <v>639</v>
      </c>
      <c r="F89" s="667"/>
      <c r="G89" s="403"/>
      <c r="H89" s="404"/>
      <c r="I89" s="403"/>
      <c r="J89" s="390" t="s">
        <v>365</v>
      </c>
      <c r="K89" s="390" t="s">
        <v>229</v>
      </c>
      <c r="L89" s="416" t="s">
        <v>362</v>
      </c>
      <c r="M89" s="508" t="s">
        <v>515</v>
      </c>
      <c r="N89" s="408" t="s">
        <v>564</v>
      </c>
      <c r="O89" s="505"/>
      <c r="P89" s="505"/>
      <c r="Q89" s="505"/>
      <c r="R89" s="505"/>
      <c r="S89" s="505"/>
      <c r="T89" s="505"/>
      <c r="U89" s="502"/>
      <c r="V89" s="502"/>
      <c r="W89" s="603"/>
      <c r="X89" s="597"/>
      <c r="Y89" s="602"/>
      <c r="Z89" s="654">
        <f>Q89/2</f>
        <v>0</v>
      </c>
      <c r="AA89" s="617"/>
      <c r="AB89" s="400"/>
      <c r="AC89" s="397"/>
      <c r="AD89" s="1113"/>
      <c r="AE89" s="1113"/>
      <c r="AF89" s="654">
        <f>Q89/2</f>
        <v>0</v>
      </c>
      <c r="AG89" s="617"/>
      <c r="AH89" s="400"/>
      <c r="AI89" s="397"/>
      <c r="AK89" s="611"/>
      <c r="AL89" s="612"/>
      <c r="AM89" s="613"/>
    </row>
    <row r="90" spans="1:39" ht="43.15" hidden="1" customHeight="1">
      <c r="A90" s="496">
        <v>22</v>
      </c>
      <c r="B90" s="497"/>
      <c r="C90" s="497" t="s">
        <v>537</v>
      </c>
      <c r="D90" s="497"/>
      <c r="E90" s="498" t="s">
        <v>536</v>
      </c>
      <c r="F90" s="668" t="s">
        <v>679</v>
      </c>
      <c r="G90" s="403" t="s">
        <v>607</v>
      </c>
      <c r="H90" s="404" t="s">
        <v>604</v>
      </c>
      <c r="I90" s="403" t="s">
        <v>538</v>
      </c>
      <c r="J90" s="390" t="s">
        <v>365</v>
      </c>
      <c r="K90" s="390" t="s">
        <v>229</v>
      </c>
      <c r="L90" s="416" t="s">
        <v>362</v>
      </c>
      <c r="M90" s="508" t="s">
        <v>515</v>
      </c>
      <c r="N90" s="408">
        <v>30</v>
      </c>
      <c r="O90" s="505"/>
      <c r="P90" s="505"/>
      <c r="Q90" s="505"/>
      <c r="R90" s="505"/>
      <c r="S90" s="505"/>
      <c r="T90" s="505"/>
      <c r="U90" s="502"/>
      <c r="V90" s="502"/>
      <c r="W90" s="603"/>
      <c r="X90" s="597"/>
      <c r="Y90" s="602"/>
      <c r="Z90" s="654">
        <f>Q90/2</f>
        <v>0</v>
      </c>
      <c r="AA90" s="617"/>
      <c r="AB90" s="400" t="e">
        <f t="shared" si="27"/>
        <v>#DIV/0!</v>
      </c>
      <c r="AC90" s="397"/>
      <c r="AD90" s="1113"/>
      <c r="AE90" s="1113"/>
      <c r="AF90" s="654">
        <f>Q90/2</f>
        <v>0</v>
      </c>
      <c r="AG90" s="617"/>
      <c r="AH90" s="400" t="e">
        <f t="shared" si="0"/>
        <v>#DIV/0!</v>
      </c>
      <c r="AI90" s="397"/>
      <c r="AK90" s="611"/>
      <c r="AL90" s="612"/>
      <c r="AM90" s="613"/>
    </row>
    <row r="91" spans="1:39" s="550" customFormat="1" ht="35.1" hidden="1" customHeight="1">
      <c r="A91" s="573"/>
      <c r="B91" s="542"/>
      <c r="C91" s="542"/>
      <c r="D91" s="542"/>
      <c r="E91" s="518" t="s">
        <v>539</v>
      </c>
      <c r="F91" s="543"/>
      <c r="G91" s="544"/>
      <c r="H91" s="545"/>
      <c r="I91" s="544"/>
      <c r="J91" s="546"/>
      <c r="K91" s="546"/>
      <c r="L91" s="547"/>
      <c r="M91" s="548"/>
      <c r="N91" s="549"/>
      <c r="O91" s="406"/>
      <c r="P91" s="406"/>
      <c r="Q91" s="406"/>
      <c r="R91" s="406"/>
      <c r="S91" s="406"/>
      <c r="T91" s="406"/>
      <c r="U91" s="409"/>
      <c r="V91" s="409"/>
      <c r="W91" s="622"/>
      <c r="X91" s="623"/>
      <c r="Y91" s="624"/>
      <c r="Z91" s="625"/>
      <c r="AA91" s="617"/>
      <c r="AB91" s="626"/>
      <c r="AC91" s="543"/>
      <c r="AD91" s="1116"/>
      <c r="AE91" s="1116"/>
      <c r="AF91" s="625"/>
      <c r="AG91" s="617"/>
      <c r="AH91" s="626"/>
      <c r="AI91" s="543"/>
      <c r="AK91" s="611"/>
      <c r="AL91" s="612"/>
      <c r="AM91" s="613"/>
    </row>
    <row r="92" spans="1:39" ht="66" hidden="1" customHeight="1">
      <c r="A92" s="496">
        <v>23</v>
      </c>
      <c r="B92" s="497"/>
      <c r="C92" s="497" t="s">
        <v>565</v>
      </c>
      <c r="D92" s="497"/>
      <c r="E92" s="528" t="s">
        <v>580</v>
      </c>
      <c r="F92" s="668" t="s">
        <v>679</v>
      </c>
      <c r="G92" s="403" t="s">
        <v>607</v>
      </c>
      <c r="H92" s="404" t="s">
        <v>604</v>
      </c>
      <c r="I92" s="403" t="s">
        <v>540</v>
      </c>
      <c r="J92" s="390" t="s">
        <v>365</v>
      </c>
      <c r="K92" s="390" t="s">
        <v>229</v>
      </c>
      <c r="L92" s="416"/>
      <c r="M92" s="408"/>
      <c r="N92" s="408"/>
      <c r="O92" s="505"/>
      <c r="P92" s="505"/>
      <c r="Q92" s="505"/>
      <c r="R92" s="505"/>
      <c r="S92" s="505"/>
      <c r="T92" s="505"/>
      <c r="U92" s="502"/>
      <c r="V92" s="502"/>
      <c r="W92" s="603"/>
      <c r="X92" s="597"/>
      <c r="Y92" s="602"/>
      <c r="Z92" s="654">
        <f t="shared" ref="Z92:Z98" si="30">Q92/2</f>
        <v>0</v>
      </c>
      <c r="AA92" s="617"/>
      <c r="AB92" s="400" t="e">
        <f t="shared" si="27"/>
        <v>#DIV/0!</v>
      </c>
      <c r="AC92" s="397"/>
      <c r="AD92" s="1113"/>
      <c r="AE92" s="1113"/>
      <c r="AF92" s="654">
        <f t="shared" ref="AF92:AF98" si="31">Q92/2</f>
        <v>0</v>
      </c>
      <c r="AG92" s="617"/>
      <c r="AH92" s="400" t="e">
        <f t="shared" si="0"/>
        <v>#DIV/0!</v>
      </c>
      <c r="AI92" s="397"/>
      <c r="AK92" s="611"/>
      <c r="AL92" s="612"/>
      <c r="AM92" s="613"/>
    </row>
    <row r="93" spans="1:39" ht="66" hidden="1" customHeight="1">
      <c r="A93" s="506"/>
      <c r="B93" s="497"/>
      <c r="C93" s="497"/>
      <c r="D93" s="497"/>
      <c r="E93" s="529" t="s">
        <v>566</v>
      </c>
      <c r="F93" s="667"/>
      <c r="G93" s="403"/>
      <c r="H93" s="404"/>
      <c r="I93" s="403"/>
      <c r="J93" s="390" t="s">
        <v>365</v>
      </c>
      <c r="K93" s="390" t="s">
        <v>229</v>
      </c>
      <c r="L93" s="416" t="s">
        <v>435</v>
      </c>
      <c r="M93" s="408">
        <v>5721</v>
      </c>
      <c r="N93" s="408">
        <v>40000</v>
      </c>
      <c r="O93" s="505"/>
      <c r="P93" s="505"/>
      <c r="Q93" s="505"/>
      <c r="R93" s="505"/>
      <c r="S93" s="505"/>
      <c r="T93" s="505"/>
      <c r="U93" s="502"/>
      <c r="V93" s="502"/>
      <c r="W93" s="603"/>
      <c r="X93" s="597"/>
      <c r="Y93" s="602"/>
      <c r="Z93" s="654">
        <f t="shared" si="30"/>
        <v>0</v>
      </c>
      <c r="AA93" s="617"/>
      <c r="AB93" s="400"/>
      <c r="AC93" s="397"/>
      <c r="AD93" s="1113"/>
      <c r="AE93" s="1113"/>
      <c r="AF93" s="654">
        <f t="shared" si="31"/>
        <v>0</v>
      </c>
      <c r="AG93" s="617"/>
      <c r="AH93" s="400"/>
      <c r="AI93" s="397"/>
      <c r="AK93" s="611"/>
      <c r="AL93" s="612"/>
      <c r="AM93" s="613"/>
    </row>
    <row r="94" spans="1:39" ht="66" hidden="1" customHeight="1">
      <c r="A94" s="506"/>
      <c r="B94" s="497"/>
      <c r="C94" s="497"/>
      <c r="D94" s="497"/>
      <c r="E94" s="529" t="s">
        <v>633</v>
      </c>
      <c r="F94" s="667"/>
      <c r="G94" s="403"/>
      <c r="H94" s="404"/>
      <c r="I94" s="403"/>
      <c r="J94" s="390" t="s">
        <v>365</v>
      </c>
      <c r="K94" s="390" t="s">
        <v>229</v>
      </c>
      <c r="L94" s="416" t="s">
        <v>435</v>
      </c>
      <c r="M94" s="407">
        <f>25%*M93</f>
        <v>1430.25</v>
      </c>
      <c r="N94" s="408">
        <f>25%*N93</f>
        <v>10000</v>
      </c>
      <c r="O94" s="505"/>
      <c r="P94" s="505"/>
      <c r="Q94" s="505"/>
      <c r="R94" s="505"/>
      <c r="S94" s="505"/>
      <c r="T94" s="505"/>
      <c r="U94" s="502"/>
      <c r="V94" s="502"/>
      <c r="W94" s="603"/>
      <c r="X94" s="597"/>
      <c r="Y94" s="602"/>
      <c r="Z94" s="654">
        <f t="shared" si="30"/>
        <v>0</v>
      </c>
      <c r="AA94" s="617"/>
      <c r="AB94" s="400"/>
      <c r="AC94" s="397"/>
      <c r="AD94" s="1113"/>
      <c r="AE94" s="1113"/>
      <c r="AF94" s="654">
        <f t="shared" si="31"/>
        <v>0</v>
      </c>
      <c r="AG94" s="617"/>
      <c r="AH94" s="400"/>
      <c r="AI94" s="397"/>
      <c r="AK94" s="611"/>
      <c r="AL94" s="612"/>
      <c r="AM94" s="613"/>
    </row>
    <row r="95" spans="1:39" ht="66" hidden="1" customHeight="1">
      <c r="A95" s="506"/>
      <c r="B95" s="497"/>
      <c r="C95" s="497"/>
      <c r="D95" s="497"/>
      <c r="E95" s="529" t="s">
        <v>634</v>
      </c>
      <c r="F95" s="667"/>
      <c r="G95" s="403"/>
      <c r="H95" s="404"/>
      <c r="I95" s="403"/>
      <c r="J95" s="390" t="s">
        <v>365</v>
      </c>
      <c r="K95" s="390" t="s">
        <v>229</v>
      </c>
      <c r="L95" s="416" t="s">
        <v>435</v>
      </c>
      <c r="M95" s="407">
        <f>25%*M93</f>
        <v>1430.25</v>
      </c>
      <c r="N95" s="408">
        <f>25%*N93</f>
        <v>10000</v>
      </c>
      <c r="O95" s="505"/>
      <c r="P95" s="505"/>
      <c r="Q95" s="505"/>
      <c r="R95" s="505"/>
      <c r="S95" s="505"/>
      <c r="T95" s="505"/>
      <c r="U95" s="502"/>
      <c r="V95" s="502"/>
      <c r="W95" s="603"/>
      <c r="X95" s="597"/>
      <c r="Y95" s="602"/>
      <c r="Z95" s="654">
        <f t="shared" si="30"/>
        <v>0</v>
      </c>
      <c r="AA95" s="617"/>
      <c r="AB95" s="400"/>
      <c r="AC95" s="397"/>
      <c r="AD95" s="1113"/>
      <c r="AE95" s="1113"/>
      <c r="AF95" s="654">
        <f t="shared" si="31"/>
        <v>0</v>
      </c>
      <c r="AG95" s="617"/>
      <c r="AH95" s="400"/>
      <c r="AI95" s="397"/>
      <c r="AK95" s="611"/>
      <c r="AL95" s="612"/>
      <c r="AM95" s="613"/>
    </row>
    <row r="96" spans="1:39" ht="43.15" hidden="1" customHeight="1">
      <c r="A96" s="496">
        <v>24</v>
      </c>
      <c r="B96" s="497"/>
      <c r="C96" s="497" t="s">
        <v>567</v>
      </c>
      <c r="D96" s="497"/>
      <c r="E96" s="528" t="s">
        <v>581</v>
      </c>
      <c r="F96" s="668" t="s">
        <v>679</v>
      </c>
      <c r="G96" s="403" t="s">
        <v>607</v>
      </c>
      <c r="H96" s="404" t="s">
        <v>604</v>
      </c>
      <c r="I96" s="403" t="s">
        <v>541</v>
      </c>
      <c r="J96" s="390" t="s">
        <v>365</v>
      </c>
      <c r="K96" s="390" t="s">
        <v>229</v>
      </c>
      <c r="L96" s="416" t="s">
        <v>362</v>
      </c>
      <c r="M96" s="508" t="s">
        <v>515</v>
      </c>
      <c r="N96" s="408"/>
      <c r="O96" s="505"/>
      <c r="P96" s="505"/>
      <c r="Q96" s="505"/>
      <c r="R96" s="505"/>
      <c r="S96" s="505"/>
      <c r="T96" s="505"/>
      <c r="U96" s="502"/>
      <c r="V96" s="502"/>
      <c r="W96" s="603"/>
      <c r="X96" s="597"/>
      <c r="Y96" s="602"/>
      <c r="Z96" s="654">
        <f t="shared" si="30"/>
        <v>0</v>
      </c>
      <c r="AA96" s="617"/>
      <c r="AB96" s="400" t="e">
        <f t="shared" si="27"/>
        <v>#DIV/0!</v>
      </c>
      <c r="AC96" s="397"/>
      <c r="AD96" s="1113"/>
      <c r="AE96" s="1113"/>
      <c r="AF96" s="654">
        <f t="shared" si="31"/>
        <v>0</v>
      </c>
      <c r="AG96" s="617"/>
      <c r="AH96" s="400" t="e">
        <f t="shared" si="0"/>
        <v>#DIV/0!</v>
      </c>
      <c r="AI96" s="397"/>
      <c r="AK96" s="611"/>
      <c r="AL96" s="612"/>
      <c r="AM96" s="613"/>
    </row>
    <row r="97" spans="1:39" ht="43.15" hidden="1" customHeight="1">
      <c r="A97" s="506"/>
      <c r="B97" s="497"/>
      <c r="C97" s="497"/>
      <c r="D97" s="497"/>
      <c r="E97" s="529" t="s">
        <v>635</v>
      </c>
      <c r="F97" s="667" t="s">
        <v>570</v>
      </c>
      <c r="G97" s="403"/>
      <c r="H97" s="404"/>
      <c r="I97" s="403"/>
      <c r="J97" s="390" t="s">
        <v>365</v>
      </c>
      <c r="K97" s="390" t="s">
        <v>229</v>
      </c>
      <c r="L97" s="416" t="s">
        <v>435</v>
      </c>
      <c r="M97" s="508" t="s">
        <v>515</v>
      </c>
      <c r="N97" s="519" t="s">
        <v>568</v>
      </c>
      <c r="O97" s="505"/>
      <c r="P97" s="505"/>
      <c r="Q97" s="505"/>
      <c r="R97" s="505"/>
      <c r="S97" s="505"/>
      <c r="T97" s="505"/>
      <c r="U97" s="502"/>
      <c r="V97" s="502"/>
      <c r="W97" s="603"/>
      <c r="X97" s="597"/>
      <c r="Y97" s="602"/>
      <c r="Z97" s="654">
        <f t="shared" si="30"/>
        <v>0</v>
      </c>
      <c r="AA97" s="617"/>
      <c r="AB97" s="400"/>
      <c r="AC97" s="397"/>
      <c r="AD97" s="1113"/>
      <c r="AE97" s="1113"/>
      <c r="AF97" s="654">
        <f t="shared" si="31"/>
        <v>0</v>
      </c>
      <c r="AG97" s="617"/>
      <c r="AH97" s="400"/>
      <c r="AI97" s="397"/>
      <c r="AK97" s="611"/>
      <c r="AL97" s="612"/>
      <c r="AM97" s="613"/>
    </row>
    <row r="98" spans="1:39" ht="43.15" hidden="1" customHeight="1">
      <c r="A98" s="506"/>
      <c r="B98" s="497"/>
      <c r="C98" s="497"/>
      <c r="D98" s="497"/>
      <c r="E98" s="529" t="s">
        <v>636</v>
      </c>
      <c r="F98" s="667" t="s">
        <v>570</v>
      </c>
      <c r="G98" s="403"/>
      <c r="H98" s="404"/>
      <c r="I98" s="403"/>
      <c r="J98" s="390" t="s">
        <v>365</v>
      </c>
      <c r="K98" s="390" t="s">
        <v>229</v>
      </c>
      <c r="L98" s="416" t="s">
        <v>362</v>
      </c>
      <c r="M98" s="508" t="s">
        <v>515</v>
      </c>
      <c r="N98" s="519" t="s">
        <v>568</v>
      </c>
      <c r="O98" s="505"/>
      <c r="P98" s="505"/>
      <c r="Q98" s="505"/>
      <c r="R98" s="505"/>
      <c r="S98" s="505"/>
      <c r="T98" s="505"/>
      <c r="U98" s="502"/>
      <c r="V98" s="502"/>
      <c r="W98" s="603"/>
      <c r="X98" s="597"/>
      <c r="Y98" s="602"/>
      <c r="Z98" s="654">
        <f t="shared" si="30"/>
        <v>0</v>
      </c>
      <c r="AA98" s="617"/>
      <c r="AB98" s="400"/>
      <c r="AC98" s="397"/>
      <c r="AD98" s="1113"/>
      <c r="AE98" s="1113"/>
      <c r="AF98" s="654">
        <f t="shared" si="31"/>
        <v>0</v>
      </c>
      <c r="AG98" s="617"/>
      <c r="AH98" s="400"/>
      <c r="AI98" s="397"/>
      <c r="AK98" s="611"/>
      <c r="AL98" s="612"/>
      <c r="AM98" s="613"/>
    </row>
    <row r="99" spans="1:39" s="550" customFormat="1" ht="35.1" hidden="1" customHeight="1">
      <c r="A99" s="573"/>
      <c r="B99" s="551"/>
      <c r="C99" s="551"/>
      <c r="D99" s="551"/>
      <c r="E99" s="561" t="s">
        <v>542</v>
      </c>
      <c r="F99" s="552"/>
      <c r="G99" s="553"/>
      <c r="H99" s="554"/>
      <c r="I99" s="553"/>
      <c r="J99" s="555"/>
      <c r="K99" s="555"/>
      <c r="L99" s="556"/>
      <c r="M99" s="557"/>
      <c r="N99" s="558"/>
      <c r="O99" s="614"/>
      <c r="P99" s="614"/>
      <c r="Q99" s="614"/>
      <c r="R99" s="614"/>
      <c r="S99" s="614"/>
      <c r="T99" s="614"/>
      <c r="U99" s="615"/>
      <c r="V99" s="615"/>
      <c r="W99" s="662"/>
      <c r="X99" s="664"/>
      <c r="Y99" s="665"/>
      <c r="Z99" s="627"/>
      <c r="AA99" s="628"/>
      <c r="AB99" s="629"/>
      <c r="AC99" s="552"/>
      <c r="AD99" s="1117"/>
      <c r="AE99" s="1117"/>
      <c r="AF99" s="627"/>
      <c r="AG99" s="628"/>
      <c r="AH99" s="629"/>
      <c r="AI99" s="552"/>
      <c r="AK99" s="611"/>
      <c r="AL99" s="612"/>
      <c r="AM99" s="613"/>
    </row>
    <row r="100" spans="1:39" s="550" customFormat="1" ht="35.1" hidden="1" customHeight="1">
      <c r="A100" s="573"/>
      <c r="B100" s="542"/>
      <c r="C100" s="542"/>
      <c r="D100" s="542"/>
      <c r="E100" s="518" t="s">
        <v>543</v>
      </c>
      <c r="F100" s="543"/>
      <c r="G100" s="544"/>
      <c r="H100" s="545"/>
      <c r="I100" s="544"/>
      <c r="J100" s="546"/>
      <c r="K100" s="546"/>
      <c r="L100" s="547"/>
      <c r="M100" s="548"/>
      <c r="N100" s="549"/>
      <c r="O100" s="406"/>
      <c r="P100" s="406"/>
      <c r="Q100" s="406"/>
      <c r="R100" s="406"/>
      <c r="S100" s="406"/>
      <c r="T100" s="406"/>
      <c r="U100" s="409"/>
      <c r="V100" s="409"/>
      <c r="W100" s="622"/>
      <c r="X100" s="623"/>
      <c r="Y100" s="624"/>
      <c r="Z100" s="625"/>
      <c r="AA100" s="617"/>
      <c r="AB100" s="626"/>
      <c r="AC100" s="543"/>
      <c r="AD100" s="1116"/>
      <c r="AE100" s="1116"/>
      <c r="AF100" s="625"/>
      <c r="AG100" s="617"/>
      <c r="AH100" s="626"/>
      <c r="AI100" s="543"/>
      <c r="AK100" s="611"/>
      <c r="AL100" s="612"/>
      <c r="AM100" s="613"/>
    </row>
    <row r="101" spans="1:39" ht="43.15" hidden="1" customHeight="1">
      <c r="A101" s="496">
        <v>25</v>
      </c>
      <c r="B101" s="497"/>
      <c r="C101" s="497" t="s">
        <v>571</v>
      </c>
      <c r="D101" s="497"/>
      <c r="E101" s="528" t="s">
        <v>613</v>
      </c>
      <c r="F101" s="668" t="s">
        <v>679</v>
      </c>
      <c r="G101" s="403" t="s">
        <v>607</v>
      </c>
      <c r="H101" s="404" t="s">
        <v>604</v>
      </c>
      <c r="I101" s="403" t="s">
        <v>538</v>
      </c>
      <c r="J101" s="390" t="s">
        <v>365</v>
      </c>
      <c r="K101" s="390" t="s">
        <v>229</v>
      </c>
      <c r="L101" s="416"/>
      <c r="M101" s="508" t="s">
        <v>515</v>
      </c>
      <c r="N101" s="408"/>
      <c r="O101" s="505"/>
      <c r="P101" s="505"/>
      <c r="Q101" s="505"/>
      <c r="R101" s="505"/>
      <c r="S101" s="505"/>
      <c r="T101" s="505"/>
      <c r="U101" s="502"/>
      <c r="V101" s="502"/>
      <c r="W101" s="603"/>
      <c r="X101" s="597"/>
      <c r="Y101" s="602"/>
      <c r="Z101" s="654">
        <f t="shared" ref="Z101:Z117" si="32">Q101/2</f>
        <v>0</v>
      </c>
      <c r="AA101" s="617"/>
      <c r="AB101" s="400" t="e">
        <f t="shared" si="27"/>
        <v>#DIV/0!</v>
      </c>
      <c r="AC101" s="397"/>
      <c r="AD101" s="1113"/>
      <c r="AE101" s="1113"/>
      <c r="AF101" s="654">
        <f t="shared" ref="AF101:AF117" si="33">Q101/2</f>
        <v>0</v>
      </c>
      <c r="AG101" s="617"/>
      <c r="AH101" s="400" t="e">
        <f t="shared" si="0"/>
        <v>#DIV/0!</v>
      </c>
      <c r="AI101" s="397"/>
      <c r="AK101" s="611"/>
      <c r="AL101" s="612"/>
      <c r="AM101" s="613"/>
    </row>
    <row r="102" spans="1:39" ht="43.15" hidden="1" customHeight="1">
      <c r="A102" s="506"/>
      <c r="B102" s="497"/>
      <c r="C102" s="497"/>
      <c r="D102" s="497"/>
      <c r="E102" s="503" t="s">
        <v>572</v>
      </c>
      <c r="F102" s="667" t="s">
        <v>570</v>
      </c>
      <c r="G102" s="403"/>
      <c r="H102" s="404"/>
      <c r="I102" s="403"/>
      <c r="J102" s="390" t="s">
        <v>365</v>
      </c>
      <c r="K102" s="390" t="s">
        <v>229</v>
      </c>
      <c r="L102" s="416" t="s">
        <v>435</v>
      </c>
      <c r="M102" s="508" t="s">
        <v>515</v>
      </c>
      <c r="N102" s="519" t="s">
        <v>568</v>
      </c>
      <c r="O102" s="505"/>
      <c r="P102" s="505"/>
      <c r="Q102" s="505"/>
      <c r="R102" s="505"/>
      <c r="S102" s="505"/>
      <c r="T102" s="505"/>
      <c r="U102" s="502"/>
      <c r="V102" s="502"/>
      <c r="W102" s="603"/>
      <c r="X102" s="597"/>
      <c r="Y102" s="602"/>
      <c r="Z102" s="654">
        <f t="shared" si="32"/>
        <v>0</v>
      </c>
      <c r="AA102" s="617"/>
      <c r="AB102" s="400"/>
      <c r="AC102" s="397"/>
      <c r="AD102" s="1113"/>
      <c r="AE102" s="1113"/>
      <c r="AF102" s="654">
        <f t="shared" si="33"/>
        <v>0</v>
      </c>
      <c r="AG102" s="617"/>
      <c r="AH102" s="400"/>
      <c r="AI102" s="397"/>
      <c r="AK102" s="611"/>
      <c r="AL102" s="612"/>
      <c r="AM102" s="613"/>
    </row>
    <row r="103" spans="1:39" ht="43.15" hidden="1" customHeight="1">
      <c r="A103" s="506"/>
      <c r="B103" s="497"/>
      <c r="C103" s="497"/>
      <c r="D103" s="497"/>
      <c r="E103" s="503" t="s">
        <v>573</v>
      </c>
      <c r="F103" s="667" t="s">
        <v>570</v>
      </c>
      <c r="G103" s="403"/>
      <c r="H103" s="404"/>
      <c r="I103" s="403"/>
      <c r="J103" s="390" t="s">
        <v>365</v>
      </c>
      <c r="K103" s="390" t="s">
        <v>229</v>
      </c>
      <c r="L103" s="416" t="s">
        <v>362</v>
      </c>
      <c r="M103" s="508" t="s">
        <v>515</v>
      </c>
      <c r="N103" s="519" t="s">
        <v>568</v>
      </c>
      <c r="O103" s="505"/>
      <c r="P103" s="505"/>
      <c r="Q103" s="505"/>
      <c r="R103" s="505"/>
      <c r="S103" s="505"/>
      <c r="T103" s="505"/>
      <c r="U103" s="502"/>
      <c r="V103" s="502"/>
      <c r="W103" s="603"/>
      <c r="X103" s="597"/>
      <c r="Y103" s="602"/>
      <c r="Z103" s="654">
        <f t="shared" si="32"/>
        <v>0</v>
      </c>
      <c r="AA103" s="617"/>
      <c r="AB103" s="400"/>
      <c r="AC103" s="397"/>
      <c r="AD103" s="1113"/>
      <c r="AE103" s="1113"/>
      <c r="AF103" s="654">
        <f t="shared" si="33"/>
        <v>0</v>
      </c>
      <c r="AG103" s="617"/>
      <c r="AH103" s="400"/>
      <c r="AI103" s="397"/>
      <c r="AK103" s="611"/>
      <c r="AL103" s="612"/>
      <c r="AM103" s="613"/>
    </row>
    <row r="104" spans="1:39" ht="137.25" hidden="1" customHeight="1">
      <c r="A104" s="496">
        <v>26</v>
      </c>
      <c r="B104" s="497"/>
      <c r="C104" s="497" t="s">
        <v>574</v>
      </c>
      <c r="D104" s="497"/>
      <c r="E104" s="528" t="s">
        <v>569</v>
      </c>
      <c r="F104" s="668" t="s">
        <v>679</v>
      </c>
      <c r="G104" s="403" t="s">
        <v>607</v>
      </c>
      <c r="H104" s="404" t="s">
        <v>604</v>
      </c>
      <c r="I104" s="403" t="s">
        <v>544</v>
      </c>
      <c r="J104" s="390"/>
      <c r="K104" s="390"/>
      <c r="L104" s="416"/>
      <c r="M104" s="407"/>
      <c r="N104" s="408"/>
      <c r="O104" s="505"/>
      <c r="P104" s="505"/>
      <c r="Q104" s="505"/>
      <c r="R104" s="505"/>
      <c r="S104" s="505"/>
      <c r="T104" s="505"/>
      <c r="U104" s="502"/>
      <c r="V104" s="502"/>
      <c r="W104" s="603"/>
      <c r="X104" s="597"/>
      <c r="Y104" s="602"/>
      <c r="Z104" s="654">
        <f t="shared" si="32"/>
        <v>0</v>
      </c>
      <c r="AA104" s="617"/>
      <c r="AB104" s="400" t="e">
        <f t="shared" si="27"/>
        <v>#DIV/0!</v>
      </c>
      <c r="AC104" s="397"/>
      <c r="AD104" s="1113"/>
      <c r="AE104" s="1113"/>
      <c r="AF104" s="654">
        <f t="shared" si="33"/>
        <v>0</v>
      </c>
      <c r="AG104" s="617"/>
      <c r="AH104" s="400" t="e">
        <f t="shared" si="0"/>
        <v>#DIV/0!</v>
      </c>
      <c r="AI104" s="397"/>
      <c r="AK104" s="611"/>
      <c r="AL104" s="612"/>
      <c r="AM104" s="613"/>
    </row>
    <row r="105" spans="1:39" ht="52.5" hidden="1" customHeight="1">
      <c r="A105" s="506"/>
      <c r="B105" s="497"/>
      <c r="C105" s="497"/>
      <c r="D105" s="497"/>
      <c r="E105" s="529" t="s">
        <v>654</v>
      </c>
      <c r="F105" s="667"/>
      <c r="G105" s="403"/>
      <c r="H105" s="404"/>
      <c r="I105" s="403"/>
      <c r="J105" s="390" t="s">
        <v>365</v>
      </c>
      <c r="K105" s="390" t="s">
        <v>229</v>
      </c>
      <c r="L105" s="416" t="s">
        <v>435</v>
      </c>
      <c r="M105" s="508" t="s">
        <v>515</v>
      </c>
      <c r="N105" s="408">
        <f>16000/2</f>
        <v>8000</v>
      </c>
      <c r="O105" s="505"/>
      <c r="P105" s="505"/>
      <c r="Q105" s="505"/>
      <c r="R105" s="505"/>
      <c r="S105" s="505"/>
      <c r="T105" s="505"/>
      <c r="U105" s="502"/>
      <c r="V105" s="502"/>
      <c r="W105" s="603"/>
      <c r="X105" s="597"/>
      <c r="Y105" s="602"/>
      <c r="Z105" s="654">
        <f t="shared" si="32"/>
        <v>0</v>
      </c>
      <c r="AA105" s="617"/>
      <c r="AB105" s="400"/>
      <c r="AC105" s="397"/>
      <c r="AD105" s="1113"/>
      <c r="AE105" s="1113"/>
      <c r="AF105" s="654">
        <f t="shared" si="33"/>
        <v>0</v>
      </c>
      <c r="AG105" s="617"/>
      <c r="AH105" s="400"/>
      <c r="AI105" s="397"/>
      <c r="AK105" s="611"/>
      <c r="AL105" s="612"/>
      <c r="AM105" s="613"/>
    </row>
    <row r="106" spans="1:39" ht="54" hidden="1" customHeight="1">
      <c r="A106" s="506"/>
      <c r="B106" s="497"/>
      <c r="C106" s="497"/>
      <c r="D106" s="497"/>
      <c r="E106" s="529" t="s">
        <v>655</v>
      </c>
      <c r="F106" s="667"/>
      <c r="G106" s="403"/>
      <c r="H106" s="404"/>
      <c r="I106" s="403"/>
      <c r="J106" s="390" t="s">
        <v>365</v>
      </c>
      <c r="K106" s="390" t="s">
        <v>229</v>
      </c>
      <c r="L106" s="416" t="s">
        <v>435</v>
      </c>
      <c r="M106" s="508" t="s">
        <v>515</v>
      </c>
      <c r="N106" s="408">
        <f>16000/2</f>
        <v>8000</v>
      </c>
      <c r="O106" s="505"/>
      <c r="P106" s="505"/>
      <c r="Q106" s="505"/>
      <c r="R106" s="505"/>
      <c r="S106" s="505"/>
      <c r="T106" s="505"/>
      <c r="U106" s="502"/>
      <c r="V106" s="502"/>
      <c r="W106" s="603"/>
      <c r="X106" s="597"/>
      <c r="Y106" s="602"/>
      <c r="Z106" s="654">
        <f t="shared" si="32"/>
        <v>0</v>
      </c>
      <c r="AA106" s="617"/>
      <c r="AB106" s="400"/>
      <c r="AC106" s="397"/>
      <c r="AD106" s="1113"/>
      <c r="AE106" s="1113"/>
      <c r="AF106" s="654">
        <f t="shared" si="33"/>
        <v>0</v>
      </c>
      <c r="AG106" s="617"/>
      <c r="AH106" s="400"/>
      <c r="AI106" s="397"/>
      <c r="AK106" s="611"/>
      <c r="AL106" s="612"/>
      <c r="AM106" s="613"/>
    </row>
    <row r="107" spans="1:39" ht="35.1" hidden="1" customHeight="1">
      <c r="A107" s="506"/>
      <c r="B107" s="497"/>
      <c r="C107" s="497"/>
      <c r="D107" s="497"/>
      <c r="E107" s="529" t="s">
        <v>640</v>
      </c>
      <c r="F107" s="667"/>
      <c r="G107" s="403"/>
      <c r="H107" s="404"/>
      <c r="I107" s="403"/>
      <c r="J107" s="390" t="s">
        <v>365</v>
      </c>
      <c r="K107" s="390" t="s">
        <v>229</v>
      </c>
      <c r="L107" s="416" t="s">
        <v>362</v>
      </c>
      <c r="M107" s="508" t="s">
        <v>515</v>
      </c>
      <c r="N107" s="408">
        <v>54</v>
      </c>
      <c r="O107" s="505"/>
      <c r="P107" s="505"/>
      <c r="Q107" s="505"/>
      <c r="R107" s="505"/>
      <c r="S107" s="505"/>
      <c r="T107" s="505"/>
      <c r="U107" s="502"/>
      <c r="V107" s="502"/>
      <c r="W107" s="603"/>
      <c r="X107" s="597"/>
      <c r="Y107" s="602"/>
      <c r="Z107" s="654">
        <f t="shared" si="32"/>
        <v>0</v>
      </c>
      <c r="AA107" s="617"/>
      <c r="AB107" s="400"/>
      <c r="AC107" s="397"/>
      <c r="AD107" s="1113"/>
      <c r="AE107" s="1113"/>
      <c r="AF107" s="654">
        <f t="shared" si="33"/>
        <v>0</v>
      </c>
      <c r="AG107" s="617"/>
      <c r="AH107" s="400"/>
      <c r="AI107" s="397"/>
      <c r="AK107" s="611"/>
      <c r="AL107" s="612"/>
      <c r="AM107" s="613"/>
    </row>
    <row r="108" spans="1:39" ht="35.1" hidden="1" customHeight="1">
      <c r="A108" s="506"/>
      <c r="B108" s="497"/>
      <c r="C108" s="497"/>
      <c r="D108" s="497"/>
      <c r="E108" s="529" t="s">
        <v>641</v>
      </c>
      <c r="F108" s="667"/>
      <c r="G108" s="403"/>
      <c r="H108" s="404"/>
      <c r="I108" s="403"/>
      <c r="J108" s="390" t="s">
        <v>365</v>
      </c>
      <c r="K108" s="390" t="s">
        <v>229</v>
      </c>
      <c r="L108" s="416" t="s">
        <v>362</v>
      </c>
      <c r="M108" s="508" t="s">
        <v>515</v>
      </c>
      <c r="N108" s="408">
        <v>47</v>
      </c>
      <c r="O108" s="505"/>
      <c r="P108" s="505"/>
      <c r="Q108" s="505"/>
      <c r="R108" s="505"/>
      <c r="S108" s="505"/>
      <c r="T108" s="505"/>
      <c r="U108" s="502"/>
      <c r="V108" s="502"/>
      <c r="W108" s="603"/>
      <c r="X108" s="597"/>
      <c r="Y108" s="602"/>
      <c r="Z108" s="654">
        <f t="shared" si="32"/>
        <v>0</v>
      </c>
      <c r="AA108" s="617"/>
      <c r="AB108" s="400"/>
      <c r="AC108" s="397"/>
      <c r="AD108" s="1113"/>
      <c r="AE108" s="1113"/>
      <c r="AF108" s="654">
        <f t="shared" si="33"/>
        <v>0</v>
      </c>
      <c r="AG108" s="617"/>
      <c r="AH108" s="400"/>
      <c r="AI108" s="397"/>
      <c r="AK108" s="611"/>
      <c r="AL108" s="612"/>
      <c r="AM108" s="613"/>
    </row>
    <row r="109" spans="1:39" ht="35.1" hidden="1" customHeight="1">
      <c r="A109" s="506"/>
      <c r="B109" s="497"/>
      <c r="C109" s="497"/>
      <c r="D109" s="497"/>
      <c r="E109" s="529" t="s">
        <v>642</v>
      </c>
      <c r="F109" s="667"/>
      <c r="G109" s="403"/>
      <c r="H109" s="404"/>
      <c r="I109" s="403"/>
      <c r="J109" s="390" t="s">
        <v>365</v>
      </c>
      <c r="K109" s="390" t="s">
        <v>229</v>
      </c>
      <c r="L109" s="416" t="s">
        <v>362</v>
      </c>
      <c r="M109" s="508" t="s">
        <v>515</v>
      </c>
      <c r="N109" s="408">
        <v>48</v>
      </c>
      <c r="O109" s="505"/>
      <c r="P109" s="505"/>
      <c r="Q109" s="505"/>
      <c r="R109" s="505"/>
      <c r="S109" s="505"/>
      <c r="T109" s="505"/>
      <c r="U109" s="502"/>
      <c r="V109" s="502"/>
      <c r="W109" s="603"/>
      <c r="X109" s="597"/>
      <c r="Y109" s="602"/>
      <c r="Z109" s="654">
        <f t="shared" si="32"/>
        <v>0</v>
      </c>
      <c r="AA109" s="617"/>
      <c r="AB109" s="400"/>
      <c r="AC109" s="397"/>
      <c r="AD109" s="1113"/>
      <c r="AE109" s="1113"/>
      <c r="AF109" s="654">
        <f t="shared" si="33"/>
        <v>0</v>
      </c>
      <c r="AG109" s="617"/>
      <c r="AH109" s="400"/>
      <c r="AI109" s="397"/>
      <c r="AK109" s="611"/>
      <c r="AL109" s="612"/>
      <c r="AM109" s="613"/>
    </row>
    <row r="110" spans="1:39" ht="35.1" hidden="1" customHeight="1">
      <c r="A110" s="506"/>
      <c r="B110" s="497"/>
      <c r="C110" s="497"/>
      <c r="D110" s="497"/>
      <c r="E110" s="529" t="s">
        <v>643</v>
      </c>
      <c r="F110" s="667"/>
      <c r="G110" s="403"/>
      <c r="H110" s="404"/>
      <c r="I110" s="403"/>
      <c r="J110" s="390" t="s">
        <v>365</v>
      </c>
      <c r="K110" s="390" t="s">
        <v>229</v>
      </c>
      <c r="L110" s="416" t="s">
        <v>362</v>
      </c>
      <c r="M110" s="508" t="s">
        <v>515</v>
      </c>
      <c r="N110" s="408">
        <v>30</v>
      </c>
      <c r="O110" s="505"/>
      <c r="P110" s="505"/>
      <c r="Q110" s="505"/>
      <c r="R110" s="505"/>
      <c r="S110" s="505"/>
      <c r="T110" s="505"/>
      <c r="U110" s="502"/>
      <c r="V110" s="502"/>
      <c r="W110" s="603"/>
      <c r="X110" s="597"/>
      <c r="Y110" s="602"/>
      <c r="Z110" s="654">
        <f t="shared" si="32"/>
        <v>0</v>
      </c>
      <c r="AA110" s="617"/>
      <c r="AB110" s="400"/>
      <c r="AC110" s="397"/>
      <c r="AD110" s="1113"/>
      <c r="AE110" s="1113"/>
      <c r="AF110" s="654">
        <f t="shared" si="33"/>
        <v>0</v>
      </c>
      <c r="AG110" s="617"/>
      <c r="AH110" s="400"/>
      <c r="AI110" s="397"/>
      <c r="AK110" s="611"/>
      <c r="AL110" s="612"/>
      <c r="AM110" s="613"/>
    </row>
    <row r="111" spans="1:39" ht="94.9" hidden="1" customHeight="1">
      <c r="A111" s="496">
        <v>27</v>
      </c>
      <c r="B111" s="497"/>
      <c r="C111" s="497"/>
      <c r="D111" s="497"/>
      <c r="E111" s="528" t="s">
        <v>575</v>
      </c>
      <c r="F111" s="668" t="s">
        <v>679</v>
      </c>
      <c r="G111" s="403" t="s">
        <v>607</v>
      </c>
      <c r="H111" s="404" t="s">
        <v>604</v>
      </c>
      <c r="I111" s="403" t="s">
        <v>545</v>
      </c>
      <c r="J111" s="390"/>
      <c r="K111" s="390"/>
      <c r="L111" s="416"/>
      <c r="M111" s="505"/>
      <c r="N111" s="408"/>
      <c r="O111" s="505"/>
      <c r="P111" s="505"/>
      <c r="Q111" s="505"/>
      <c r="R111" s="505"/>
      <c r="S111" s="505"/>
      <c r="T111" s="505"/>
      <c r="U111" s="502"/>
      <c r="V111" s="502"/>
      <c r="W111" s="603"/>
      <c r="X111" s="597"/>
      <c r="Y111" s="602"/>
      <c r="Z111" s="654">
        <f t="shared" si="32"/>
        <v>0</v>
      </c>
      <c r="AA111" s="617"/>
      <c r="AB111" s="400" t="e">
        <f t="shared" si="27"/>
        <v>#DIV/0!</v>
      </c>
      <c r="AC111" s="397"/>
      <c r="AD111" s="1113"/>
      <c r="AE111" s="1113"/>
      <c r="AF111" s="654">
        <f t="shared" si="33"/>
        <v>0</v>
      </c>
      <c r="AG111" s="617"/>
      <c r="AH111" s="400" t="e">
        <f t="shared" si="0"/>
        <v>#DIV/0!</v>
      </c>
      <c r="AI111" s="397"/>
      <c r="AK111" s="611"/>
      <c r="AL111" s="612"/>
      <c r="AM111" s="613"/>
    </row>
    <row r="112" spans="1:39" s="593" customFormat="1" ht="35.1" hidden="1" customHeight="1">
      <c r="A112" s="585"/>
      <c r="B112" s="529"/>
      <c r="C112" s="529"/>
      <c r="D112" s="529"/>
      <c r="E112" s="529" t="s">
        <v>644</v>
      </c>
      <c r="F112" s="667"/>
      <c r="G112" s="587"/>
      <c r="H112" s="587"/>
      <c r="I112" s="587"/>
      <c r="J112" s="588" t="s">
        <v>365</v>
      </c>
      <c r="K112" s="588" t="s">
        <v>229</v>
      </c>
      <c r="L112" s="589" t="s">
        <v>435</v>
      </c>
      <c r="M112" s="590">
        <v>0</v>
      </c>
      <c r="N112" s="591" t="s">
        <v>568</v>
      </c>
      <c r="O112" s="505"/>
      <c r="P112" s="505"/>
      <c r="Q112" s="505"/>
      <c r="R112" s="505"/>
      <c r="S112" s="505"/>
      <c r="T112" s="505"/>
      <c r="U112" s="502"/>
      <c r="V112" s="502"/>
      <c r="W112" s="603"/>
      <c r="X112" s="597"/>
      <c r="Y112" s="602"/>
      <c r="Z112" s="654">
        <f t="shared" si="32"/>
        <v>0</v>
      </c>
      <c r="AA112" s="617"/>
      <c r="AB112" s="592"/>
      <c r="AC112" s="586"/>
      <c r="AD112" s="1118"/>
      <c r="AE112" s="1118"/>
      <c r="AF112" s="654">
        <f t="shared" si="33"/>
        <v>0</v>
      </c>
      <c r="AG112" s="617"/>
      <c r="AH112" s="592"/>
      <c r="AI112" s="586"/>
      <c r="AK112" s="611"/>
      <c r="AL112" s="612"/>
      <c r="AM112" s="613"/>
    </row>
    <row r="113" spans="1:39" s="593" customFormat="1" ht="35.1" hidden="1" customHeight="1">
      <c r="A113" s="585"/>
      <c r="B113" s="529"/>
      <c r="C113" s="529"/>
      <c r="D113" s="529"/>
      <c r="E113" s="529" t="s">
        <v>645</v>
      </c>
      <c r="F113" s="667"/>
      <c r="G113" s="587"/>
      <c r="H113" s="587"/>
      <c r="I113" s="587"/>
      <c r="J113" s="588" t="s">
        <v>365</v>
      </c>
      <c r="K113" s="588" t="s">
        <v>229</v>
      </c>
      <c r="L113" s="589" t="s">
        <v>362</v>
      </c>
      <c r="M113" s="590">
        <v>0</v>
      </c>
      <c r="N113" s="591" t="s">
        <v>568</v>
      </c>
      <c r="O113" s="505"/>
      <c r="P113" s="505"/>
      <c r="Q113" s="505"/>
      <c r="R113" s="505"/>
      <c r="S113" s="505"/>
      <c r="T113" s="505"/>
      <c r="U113" s="502"/>
      <c r="V113" s="502"/>
      <c r="W113" s="603"/>
      <c r="X113" s="597"/>
      <c r="Y113" s="602"/>
      <c r="Z113" s="654">
        <f t="shared" si="32"/>
        <v>0</v>
      </c>
      <c r="AA113" s="617"/>
      <c r="AB113" s="592"/>
      <c r="AC113" s="586"/>
      <c r="AD113" s="1118"/>
      <c r="AE113" s="1118"/>
      <c r="AF113" s="654">
        <f t="shared" si="33"/>
        <v>0</v>
      </c>
      <c r="AG113" s="617"/>
      <c r="AH113" s="592"/>
      <c r="AI113" s="586"/>
      <c r="AK113" s="611"/>
      <c r="AL113" s="612"/>
      <c r="AM113" s="613"/>
    </row>
    <row r="114" spans="1:39" s="593" customFormat="1" ht="51" hidden="1" customHeight="1">
      <c r="A114" s="585"/>
      <c r="B114" s="529"/>
      <c r="C114" s="529"/>
      <c r="D114" s="529"/>
      <c r="E114" s="529" t="s">
        <v>646</v>
      </c>
      <c r="F114" s="667"/>
      <c r="G114" s="587"/>
      <c r="H114" s="587"/>
      <c r="I114" s="587"/>
      <c r="J114" s="588" t="s">
        <v>365</v>
      </c>
      <c r="K114" s="588" t="s">
        <v>229</v>
      </c>
      <c r="L114" s="589" t="s">
        <v>362</v>
      </c>
      <c r="M114" s="590">
        <v>0</v>
      </c>
      <c r="N114" s="594">
        <v>40</v>
      </c>
      <c r="O114" s="505"/>
      <c r="P114" s="505"/>
      <c r="Q114" s="505"/>
      <c r="R114" s="505"/>
      <c r="S114" s="505"/>
      <c r="T114" s="505"/>
      <c r="U114" s="502"/>
      <c r="V114" s="502"/>
      <c r="W114" s="603"/>
      <c r="X114" s="597"/>
      <c r="Y114" s="602"/>
      <c r="Z114" s="654">
        <f t="shared" si="32"/>
        <v>0</v>
      </c>
      <c r="AA114" s="617"/>
      <c r="AB114" s="592"/>
      <c r="AC114" s="586"/>
      <c r="AD114" s="1118"/>
      <c r="AE114" s="1118"/>
      <c r="AF114" s="654">
        <f t="shared" si="33"/>
        <v>0</v>
      </c>
      <c r="AG114" s="617"/>
      <c r="AH114" s="592"/>
      <c r="AI114" s="586"/>
      <c r="AK114" s="611"/>
      <c r="AL114" s="612"/>
      <c r="AM114" s="613"/>
    </row>
    <row r="115" spans="1:39" ht="81.599999999999994" hidden="1" customHeight="1">
      <c r="A115" s="496">
        <v>28</v>
      </c>
      <c r="B115" s="497"/>
      <c r="C115" s="497"/>
      <c r="D115" s="497"/>
      <c r="E115" s="528" t="s">
        <v>577</v>
      </c>
      <c r="F115" s="667" t="s">
        <v>578</v>
      </c>
      <c r="G115" s="403" t="s">
        <v>607</v>
      </c>
      <c r="H115" s="404" t="s">
        <v>604</v>
      </c>
      <c r="I115" s="403" t="s">
        <v>546</v>
      </c>
      <c r="J115" s="390"/>
      <c r="K115" s="390"/>
      <c r="L115" s="416"/>
      <c r="M115" s="508" t="s">
        <v>515</v>
      </c>
      <c r="N115" s="408"/>
      <c r="O115" s="505"/>
      <c r="P115" s="505"/>
      <c r="Q115" s="505"/>
      <c r="R115" s="505"/>
      <c r="S115" s="505"/>
      <c r="T115" s="505"/>
      <c r="U115" s="502"/>
      <c r="V115" s="502"/>
      <c r="W115" s="603"/>
      <c r="X115" s="597"/>
      <c r="Y115" s="602"/>
      <c r="Z115" s="654">
        <f t="shared" si="32"/>
        <v>0</v>
      </c>
      <c r="AA115" s="617"/>
      <c r="AB115" s="400" t="e">
        <f t="shared" si="27"/>
        <v>#DIV/0!</v>
      </c>
      <c r="AC115" s="397"/>
      <c r="AD115" s="1113"/>
      <c r="AE115" s="1113"/>
      <c r="AF115" s="654">
        <f t="shared" si="33"/>
        <v>0</v>
      </c>
      <c r="AG115" s="617"/>
      <c r="AH115" s="400" t="e">
        <f t="shared" si="0"/>
        <v>#DIV/0!</v>
      </c>
      <c r="AI115" s="397"/>
      <c r="AK115" s="611"/>
      <c r="AL115" s="612"/>
      <c r="AM115" s="613"/>
    </row>
    <row r="116" spans="1:39" s="541" customFormat="1" ht="45" hidden="1" customHeight="1">
      <c r="A116" s="575"/>
      <c r="B116" s="595"/>
      <c r="C116" s="595"/>
      <c r="D116" s="595"/>
      <c r="E116" s="529" t="s">
        <v>647</v>
      </c>
      <c r="F116" s="667"/>
      <c r="G116" s="538"/>
      <c r="H116" s="539"/>
      <c r="I116" s="538"/>
      <c r="J116" s="588" t="s">
        <v>365</v>
      </c>
      <c r="K116" s="588" t="s">
        <v>229</v>
      </c>
      <c r="L116" s="589" t="s">
        <v>435</v>
      </c>
      <c r="M116" s="508" t="s">
        <v>515</v>
      </c>
      <c r="N116" s="591" t="s">
        <v>568</v>
      </c>
      <c r="O116" s="505"/>
      <c r="P116" s="505"/>
      <c r="Q116" s="505"/>
      <c r="R116" s="505"/>
      <c r="S116" s="505"/>
      <c r="T116" s="505"/>
      <c r="U116" s="502"/>
      <c r="V116" s="502"/>
      <c r="W116" s="603"/>
      <c r="X116" s="597"/>
      <c r="Y116" s="602"/>
      <c r="Z116" s="654">
        <f t="shared" si="32"/>
        <v>0</v>
      </c>
      <c r="AA116" s="617"/>
      <c r="AB116" s="540"/>
      <c r="AC116" s="537"/>
      <c r="AD116" s="1119"/>
      <c r="AE116" s="1119"/>
      <c r="AF116" s="654">
        <f t="shared" si="33"/>
        <v>0</v>
      </c>
      <c r="AG116" s="617"/>
      <c r="AH116" s="540"/>
      <c r="AI116" s="537"/>
      <c r="AK116" s="611"/>
      <c r="AL116" s="612"/>
      <c r="AM116" s="613"/>
    </row>
    <row r="117" spans="1:39" s="541" customFormat="1" ht="53.25" hidden="1" customHeight="1">
      <c r="A117" s="575"/>
      <c r="B117" s="595"/>
      <c r="C117" s="595"/>
      <c r="D117" s="595"/>
      <c r="E117" s="529" t="s">
        <v>648</v>
      </c>
      <c r="F117" s="667"/>
      <c r="G117" s="538"/>
      <c r="H117" s="539"/>
      <c r="I117" s="538"/>
      <c r="J117" s="588" t="s">
        <v>365</v>
      </c>
      <c r="K117" s="588" t="s">
        <v>229</v>
      </c>
      <c r="L117" s="589" t="s">
        <v>435</v>
      </c>
      <c r="M117" s="508" t="s">
        <v>515</v>
      </c>
      <c r="N117" s="596">
        <v>8000</v>
      </c>
      <c r="O117" s="505"/>
      <c r="P117" s="505"/>
      <c r="Q117" s="505"/>
      <c r="R117" s="505"/>
      <c r="S117" s="505"/>
      <c r="T117" s="505"/>
      <c r="U117" s="502"/>
      <c r="V117" s="502"/>
      <c r="W117" s="603"/>
      <c r="X117" s="597"/>
      <c r="Y117" s="602"/>
      <c r="Z117" s="654">
        <f t="shared" si="32"/>
        <v>0</v>
      </c>
      <c r="AA117" s="617"/>
      <c r="AB117" s="540"/>
      <c r="AC117" s="537"/>
      <c r="AD117" s="1119"/>
      <c r="AE117" s="1119"/>
      <c r="AF117" s="654">
        <f t="shared" si="33"/>
        <v>0</v>
      </c>
      <c r="AG117" s="617"/>
      <c r="AH117" s="540"/>
      <c r="AI117" s="537"/>
      <c r="AK117" s="611"/>
      <c r="AL117" s="612"/>
      <c r="AM117" s="613"/>
    </row>
    <row r="118" spans="1:39" s="550" customFormat="1" ht="35.1" hidden="1" customHeight="1">
      <c r="A118" s="573"/>
      <c r="B118" s="542"/>
      <c r="C118" s="542"/>
      <c r="D118" s="542"/>
      <c r="E118" s="518" t="s">
        <v>547</v>
      </c>
      <c r="F118" s="543"/>
      <c r="G118" s="544"/>
      <c r="H118" s="545"/>
      <c r="I118" s="544"/>
      <c r="J118" s="546"/>
      <c r="K118" s="546"/>
      <c r="L118" s="547"/>
      <c r="M118" s="548"/>
      <c r="N118" s="549"/>
      <c r="O118" s="406"/>
      <c r="P118" s="406"/>
      <c r="Q118" s="406"/>
      <c r="R118" s="406"/>
      <c r="S118" s="406"/>
      <c r="T118" s="406"/>
      <c r="U118" s="409"/>
      <c r="V118" s="409"/>
      <c r="W118" s="622"/>
      <c r="X118" s="623"/>
      <c r="Y118" s="624"/>
      <c r="Z118" s="625"/>
      <c r="AA118" s="617"/>
      <c r="AB118" s="626"/>
      <c r="AC118" s="543"/>
      <c r="AD118" s="1116"/>
      <c r="AE118" s="1116"/>
      <c r="AF118" s="625"/>
      <c r="AG118" s="617"/>
      <c r="AH118" s="626"/>
      <c r="AI118" s="543"/>
      <c r="AK118" s="611"/>
      <c r="AL118" s="612"/>
      <c r="AM118" s="613"/>
    </row>
    <row r="119" spans="1:39" ht="43.15" hidden="1" customHeight="1">
      <c r="A119" s="496">
        <v>29</v>
      </c>
      <c r="B119" s="497"/>
      <c r="C119" s="497" t="s">
        <v>583</v>
      </c>
      <c r="D119" s="497"/>
      <c r="E119" s="528" t="s">
        <v>548</v>
      </c>
      <c r="F119" s="668" t="s">
        <v>679</v>
      </c>
      <c r="G119" s="403" t="s">
        <v>607</v>
      </c>
      <c r="H119" s="404"/>
      <c r="I119" s="403" t="s">
        <v>544</v>
      </c>
      <c r="J119" s="390" t="s">
        <v>365</v>
      </c>
      <c r="K119" s="390"/>
      <c r="L119" s="416"/>
      <c r="M119" s="508" t="s">
        <v>515</v>
      </c>
      <c r="N119" s="408"/>
      <c r="O119" s="505"/>
      <c r="P119" s="505"/>
      <c r="Q119" s="505"/>
      <c r="R119" s="505"/>
      <c r="S119" s="505"/>
      <c r="T119" s="505"/>
      <c r="U119" s="502"/>
      <c r="V119" s="502"/>
      <c r="W119" s="603"/>
      <c r="X119" s="597"/>
      <c r="Y119" s="602"/>
      <c r="Z119" s="654">
        <f>Q119/2</f>
        <v>0</v>
      </c>
      <c r="AA119" s="617"/>
      <c r="AB119" s="400" t="e">
        <f t="shared" si="27"/>
        <v>#DIV/0!</v>
      </c>
      <c r="AC119" s="397"/>
      <c r="AD119" s="1113"/>
      <c r="AE119" s="1113"/>
      <c r="AF119" s="654">
        <f>Q119/2</f>
        <v>0</v>
      </c>
      <c r="AG119" s="617"/>
      <c r="AH119" s="400" t="e">
        <f t="shared" si="0"/>
        <v>#DIV/0!</v>
      </c>
      <c r="AI119" s="397"/>
      <c r="AK119" s="611"/>
      <c r="AL119" s="612"/>
      <c r="AM119" s="613"/>
    </row>
    <row r="120" spans="1:39" ht="43.15" hidden="1" customHeight="1">
      <c r="A120" s="496"/>
      <c r="B120" s="497"/>
      <c r="C120" s="497"/>
      <c r="D120" s="497"/>
      <c r="E120" s="529" t="s">
        <v>592</v>
      </c>
      <c r="F120" s="667"/>
      <c r="G120" s="403"/>
      <c r="H120" s="404"/>
      <c r="I120" s="403"/>
      <c r="J120" s="390" t="s">
        <v>365</v>
      </c>
      <c r="K120" s="390" t="s">
        <v>229</v>
      </c>
      <c r="L120" s="416" t="s">
        <v>435</v>
      </c>
      <c r="M120" s="508" t="s">
        <v>515</v>
      </c>
      <c r="N120" s="408">
        <v>25</v>
      </c>
      <c r="O120" s="505"/>
      <c r="P120" s="505"/>
      <c r="Q120" s="505"/>
      <c r="R120" s="505"/>
      <c r="S120" s="505"/>
      <c r="T120" s="505"/>
      <c r="U120" s="502"/>
      <c r="V120" s="502"/>
      <c r="W120" s="603"/>
      <c r="X120" s="597"/>
      <c r="Y120" s="602"/>
      <c r="Z120" s="654">
        <f>Q120/2</f>
        <v>0</v>
      </c>
      <c r="AA120" s="617"/>
      <c r="AB120" s="400"/>
      <c r="AC120" s="397"/>
      <c r="AD120" s="1113"/>
      <c r="AE120" s="1113"/>
      <c r="AF120" s="654">
        <f>Q120/2</f>
        <v>0</v>
      </c>
      <c r="AG120" s="617"/>
      <c r="AH120" s="400"/>
      <c r="AI120" s="397"/>
      <c r="AK120" s="611"/>
      <c r="AL120" s="612"/>
      <c r="AM120" s="613"/>
    </row>
    <row r="121" spans="1:39" ht="43.15" hidden="1" customHeight="1">
      <c r="A121" s="496"/>
      <c r="B121" s="497"/>
      <c r="C121" s="497"/>
      <c r="D121" s="497"/>
      <c r="E121" s="529" t="s">
        <v>593</v>
      </c>
      <c r="F121" s="667"/>
      <c r="G121" s="403"/>
      <c r="H121" s="404"/>
      <c r="I121" s="403"/>
      <c r="J121" s="390" t="s">
        <v>365</v>
      </c>
      <c r="K121" s="390" t="s">
        <v>229</v>
      </c>
      <c r="L121" s="416" t="s">
        <v>435</v>
      </c>
      <c r="M121" s="508" t="s">
        <v>515</v>
      </c>
      <c r="N121" s="408">
        <v>20</v>
      </c>
      <c r="O121" s="505"/>
      <c r="P121" s="505"/>
      <c r="Q121" s="505"/>
      <c r="R121" s="505"/>
      <c r="S121" s="505"/>
      <c r="T121" s="505"/>
      <c r="U121" s="502"/>
      <c r="V121" s="502"/>
      <c r="W121" s="603"/>
      <c r="X121" s="597"/>
      <c r="Y121" s="602"/>
      <c r="Z121" s="654">
        <f>Q121/2</f>
        <v>0</v>
      </c>
      <c r="AA121" s="617"/>
      <c r="AB121" s="400"/>
      <c r="AC121" s="397"/>
      <c r="AD121" s="1113"/>
      <c r="AE121" s="1113"/>
      <c r="AF121" s="654">
        <f>Q121/2</f>
        <v>0</v>
      </c>
      <c r="AG121" s="617"/>
      <c r="AH121" s="400"/>
      <c r="AI121" s="397"/>
      <c r="AK121" s="611"/>
      <c r="AL121" s="612"/>
      <c r="AM121" s="613"/>
    </row>
    <row r="122" spans="1:39" s="550" customFormat="1" ht="35.1" hidden="1" customHeight="1">
      <c r="A122" s="573"/>
      <c r="B122" s="551"/>
      <c r="C122" s="551"/>
      <c r="D122" s="551"/>
      <c r="E122" s="561" t="s">
        <v>549</v>
      </c>
      <c r="F122" s="552"/>
      <c r="G122" s="553"/>
      <c r="H122" s="554"/>
      <c r="I122" s="553"/>
      <c r="J122" s="555"/>
      <c r="K122" s="555"/>
      <c r="L122" s="556"/>
      <c r="M122" s="557"/>
      <c r="N122" s="558"/>
      <c r="O122" s="614"/>
      <c r="P122" s="614"/>
      <c r="Q122" s="614"/>
      <c r="R122" s="614"/>
      <c r="S122" s="614"/>
      <c r="T122" s="614"/>
      <c r="U122" s="615"/>
      <c r="V122" s="615"/>
      <c r="W122" s="662"/>
      <c r="X122" s="664"/>
      <c r="Y122" s="665"/>
      <c r="Z122" s="627"/>
      <c r="AA122" s="628"/>
      <c r="AB122" s="629"/>
      <c r="AC122" s="552"/>
      <c r="AD122" s="1117"/>
      <c r="AE122" s="1117"/>
      <c r="AF122" s="627"/>
      <c r="AG122" s="628"/>
      <c r="AH122" s="629"/>
      <c r="AI122" s="552"/>
      <c r="AK122" s="611"/>
      <c r="AL122" s="612"/>
      <c r="AM122" s="613"/>
    </row>
    <row r="123" spans="1:39" s="550" customFormat="1" ht="35.1" hidden="1" customHeight="1">
      <c r="A123" s="573"/>
      <c r="B123" s="542"/>
      <c r="C123" s="542"/>
      <c r="D123" s="542"/>
      <c r="E123" s="518" t="s">
        <v>590</v>
      </c>
      <c r="F123" s="543"/>
      <c r="G123" s="544"/>
      <c r="H123" s="545"/>
      <c r="I123" s="544"/>
      <c r="J123" s="546"/>
      <c r="K123" s="546"/>
      <c r="L123" s="547"/>
      <c r="M123" s="548"/>
      <c r="N123" s="549"/>
      <c r="O123" s="406"/>
      <c r="P123" s="406"/>
      <c r="Q123" s="406"/>
      <c r="R123" s="406"/>
      <c r="S123" s="406"/>
      <c r="T123" s="406"/>
      <c r="U123" s="409"/>
      <c r="V123" s="409"/>
      <c r="W123" s="622"/>
      <c r="X123" s="623"/>
      <c r="Y123" s="624"/>
      <c r="Z123" s="625"/>
      <c r="AA123" s="617"/>
      <c r="AB123" s="626"/>
      <c r="AC123" s="543"/>
      <c r="AD123" s="1116"/>
      <c r="AE123" s="1116"/>
      <c r="AF123" s="625"/>
      <c r="AG123" s="617"/>
      <c r="AH123" s="626"/>
      <c r="AI123" s="543"/>
      <c r="AK123" s="611"/>
      <c r="AL123" s="612"/>
      <c r="AM123" s="613"/>
    </row>
    <row r="124" spans="1:39" ht="54.75" hidden="1" customHeight="1">
      <c r="A124" s="496">
        <v>30</v>
      </c>
      <c r="B124" s="497"/>
      <c r="C124" s="497" t="s">
        <v>584</v>
      </c>
      <c r="D124" s="497"/>
      <c r="E124" s="531" t="s">
        <v>597</v>
      </c>
      <c r="F124" s="668" t="s">
        <v>679</v>
      </c>
      <c r="G124" s="403" t="s">
        <v>607</v>
      </c>
      <c r="H124" s="404" t="s">
        <v>604</v>
      </c>
      <c r="I124" s="403" t="s">
        <v>550</v>
      </c>
      <c r="J124" s="390" t="s">
        <v>365</v>
      </c>
      <c r="K124" s="390" t="s">
        <v>229</v>
      </c>
      <c r="L124" s="416" t="s">
        <v>591</v>
      </c>
      <c r="M124" s="505">
        <v>0</v>
      </c>
      <c r="N124" s="408">
        <f>1*2*5</f>
        <v>10</v>
      </c>
      <c r="O124" s="505"/>
      <c r="P124" s="505"/>
      <c r="Q124" s="505"/>
      <c r="R124" s="505"/>
      <c r="S124" s="505"/>
      <c r="T124" s="505"/>
      <c r="U124" s="502"/>
      <c r="V124" s="502"/>
      <c r="W124" s="603"/>
      <c r="X124" s="597"/>
      <c r="Y124" s="602"/>
      <c r="Z124" s="654">
        <f t="shared" ref="Z124:Z129" si="34">Q124/2</f>
        <v>0</v>
      </c>
      <c r="AA124" s="617"/>
      <c r="AB124" s="400" t="e">
        <f t="shared" si="27"/>
        <v>#DIV/0!</v>
      </c>
      <c r="AC124" s="397"/>
      <c r="AD124" s="1113"/>
      <c r="AE124" s="1113"/>
      <c r="AF124" s="654">
        <f t="shared" ref="AF124:AF129" si="35">Q124/2</f>
        <v>0</v>
      </c>
      <c r="AG124" s="617"/>
      <c r="AH124" s="400" t="e">
        <f t="shared" si="0"/>
        <v>#DIV/0!</v>
      </c>
      <c r="AI124" s="397"/>
      <c r="AK124" s="611"/>
      <c r="AL124" s="612"/>
      <c r="AM124" s="613"/>
    </row>
    <row r="125" spans="1:39" ht="108.75" hidden="1" customHeight="1">
      <c r="A125" s="496">
        <v>31</v>
      </c>
      <c r="B125" s="497"/>
      <c r="C125" s="497" t="s">
        <v>585</v>
      </c>
      <c r="D125" s="497"/>
      <c r="E125" s="531" t="s">
        <v>595</v>
      </c>
      <c r="F125" s="668" t="s">
        <v>679</v>
      </c>
      <c r="G125" s="403" t="s">
        <v>607</v>
      </c>
      <c r="H125" s="404" t="s">
        <v>604</v>
      </c>
      <c r="I125" s="403" t="s">
        <v>551</v>
      </c>
      <c r="J125" s="390" t="s">
        <v>365</v>
      </c>
      <c r="K125" s="390" t="s">
        <v>229</v>
      </c>
      <c r="L125" s="416" t="s">
        <v>594</v>
      </c>
      <c r="M125" s="508" t="s">
        <v>515</v>
      </c>
      <c r="N125" s="408">
        <f>1*2*5</f>
        <v>10</v>
      </c>
      <c r="O125" s="505"/>
      <c r="P125" s="505"/>
      <c r="Q125" s="505"/>
      <c r="R125" s="505"/>
      <c r="S125" s="505"/>
      <c r="T125" s="505"/>
      <c r="U125" s="502"/>
      <c r="V125" s="502"/>
      <c r="W125" s="603"/>
      <c r="X125" s="597"/>
      <c r="Y125" s="602"/>
      <c r="Z125" s="654">
        <f t="shared" si="34"/>
        <v>0</v>
      </c>
      <c r="AA125" s="617"/>
      <c r="AB125" s="400" t="e">
        <f t="shared" si="27"/>
        <v>#DIV/0!</v>
      </c>
      <c r="AC125" s="397"/>
      <c r="AD125" s="1113"/>
      <c r="AE125" s="1113"/>
      <c r="AF125" s="654">
        <f t="shared" si="35"/>
        <v>0</v>
      </c>
      <c r="AG125" s="617"/>
      <c r="AH125" s="400" t="e">
        <f t="shared" si="0"/>
        <v>#DIV/0!</v>
      </c>
      <c r="AI125" s="397"/>
      <c r="AK125" s="611"/>
      <c r="AL125" s="612"/>
      <c r="AM125" s="613"/>
    </row>
    <row r="126" spans="1:39" ht="76.5" hidden="1" customHeight="1">
      <c r="A126" s="496">
        <v>32</v>
      </c>
      <c r="B126" s="497"/>
      <c r="C126" s="497" t="s">
        <v>586</v>
      </c>
      <c r="D126" s="497"/>
      <c r="E126" s="528" t="s">
        <v>609</v>
      </c>
      <c r="F126" s="668" t="s">
        <v>679</v>
      </c>
      <c r="G126" s="403" t="s">
        <v>607</v>
      </c>
      <c r="H126" s="404" t="s">
        <v>604</v>
      </c>
      <c r="I126" s="403" t="s">
        <v>538</v>
      </c>
      <c r="J126" s="390" t="s">
        <v>365</v>
      </c>
      <c r="K126" s="390" t="s">
        <v>229</v>
      </c>
      <c r="L126" s="416"/>
      <c r="M126" s="505"/>
      <c r="N126" s="408"/>
      <c r="O126" s="505"/>
      <c r="P126" s="505"/>
      <c r="Q126" s="505"/>
      <c r="R126" s="505"/>
      <c r="S126" s="505"/>
      <c r="T126" s="505"/>
      <c r="U126" s="502"/>
      <c r="V126" s="502"/>
      <c r="W126" s="603"/>
      <c r="X126" s="597"/>
      <c r="Y126" s="602"/>
      <c r="Z126" s="654">
        <f t="shared" si="34"/>
        <v>0</v>
      </c>
      <c r="AA126" s="617"/>
      <c r="AB126" s="400" t="e">
        <f t="shared" si="27"/>
        <v>#DIV/0!</v>
      </c>
      <c r="AC126" s="397"/>
      <c r="AD126" s="1113"/>
      <c r="AE126" s="1113"/>
      <c r="AF126" s="654">
        <f t="shared" si="35"/>
        <v>0</v>
      </c>
      <c r="AG126" s="617"/>
      <c r="AH126" s="400" t="e">
        <f t="shared" si="0"/>
        <v>#DIV/0!</v>
      </c>
      <c r="AI126" s="397"/>
      <c r="AK126" s="611"/>
      <c r="AL126" s="612"/>
      <c r="AM126" s="613"/>
    </row>
    <row r="127" spans="1:39" ht="55.5" hidden="1" customHeight="1">
      <c r="A127" s="496"/>
      <c r="B127" s="497"/>
      <c r="C127" s="497"/>
      <c r="D127" s="497"/>
      <c r="E127" s="529" t="s">
        <v>598</v>
      </c>
      <c r="F127" s="667" t="s">
        <v>701</v>
      </c>
      <c r="G127" s="403"/>
      <c r="H127" s="404"/>
      <c r="I127" s="403"/>
      <c r="J127" s="390"/>
      <c r="K127" s="390"/>
      <c r="L127" s="416" t="s">
        <v>596</v>
      </c>
      <c r="M127" s="505">
        <v>0</v>
      </c>
      <c r="N127" s="408" t="s">
        <v>599</v>
      </c>
      <c r="O127" s="505"/>
      <c r="P127" s="505"/>
      <c r="Q127" s="505"/>
      <c r="R127" s="505"/>
      <c r="S127" s="505"/>
      <c r="T127" s="505"/>
      <c r="U127" s="502"/>
      <c r="V127" s="502"/>
      <c r="W127" s="603"/>
      <c r="X127" s="597"/>
      <c r="Y127" s="602"/>
      <c r="Z127" s="654">
        <f t="shared" si="34"/>
        <v>0</v>
      </c>
      <c r="AA127" s="617"/>
      <c r="AB127" s="400"/>
      <c r="AC127" s="397"/>
      <c r="AD127" s="1113"/>
      <c r="AE127" s="1113"/>
      <c r="AF127" s="654">
        <f t="shared" si="35"/>
        <v>0</v>
      </c>
      <c r="AG127" s="617"/>
      <c r="AH127" s="400"/>
      <c r="AI127" s="397"/>
      <c r="AK127" s="611"/>
      <c r="AL127" s="612"/>
      <c r="AM127" s="613"/>
    </row>
    <row r="128" spans="1:39" ht="58.5" hidden="1" customHeight="1">
      <c r="A128" s="496"/>
      <c r="B128" s="497"/>
      <c r="C128" s="497"/>
      <c r="D128" s="497"/>
      <c r="E128" s="529" t="s">
        <v>600</v>
      </c>
      <c r="F128" s="667" t="s">
        <v>701</v>
      </c>
      <c r="G128" s="403"/>
      <c r="H128" s="404"/>
      <c r="I128" s="403"/>
      <c r="J128" s="390"/>
      <c r="K128" s="390"/>
      <c r="L128" s="416" t="s">
        <v>134</v>
      </c>
      <c r="M128" s="505">
        <v>0</v>
      </c>
      <c r="N128" s="408" t="s">
        <v>599</v>
      </c>
      <c r="O128" s="505"/>
      <c r="P128" s="505"/>
      <c r="Q128" s="505"/>
      <c r="R128" s="505"/>
      <c r="S128" s="505"/>
      <c r="T128" s="505"/>
      <c r="U128" s="502"/>
      <c r="V128" s="502"/>
      <c r="W128" s="603"/>
      <c r="X128" s="597"/>
      <c r="Y128" s="602"/>
      <c r="Z128" s="654">
        <f t="shared" si="34"/>
        <v>0</v>
      </c>
      <c r="AA128" s="617"/>
      <c r="AB128" s="400"/>
      <c r="AC128" s="397"/>
      <c r="AD128" s="1113"/>
      <c r="AE128" s="1113"/>
      <c r="AF128" s="654">
        <f t="shared" si="35"/>
        <v>0</v>
      </c>
      <c r="AG128" s="617"/>
      <c r="AH128" s="400"/>
      <c r="AI128" s="397"/>
      <c r="AK128" s="611"/>
      <c r="AL128" s="612"/>
      <c r="AM128" s="613"/>
    </row>
    <row r="129" spans="1:39" ht="53.25" hidden="1" customHeight="1">
      <c r="A129" s="496">
        <v>33</v>
      </c>
      <c r="B129" s="497"/>
      <c r="C129" s="497" t="s">
        <v>587</v>
      </c>
      <c r="D129" s="497"/>
      <c r="E129" s="531" t="s">
        <v>589</v>
      </c>
      <c r="F129" s="667" t="s">
        <v>702</v>
      </c>
      <c r="G129" s="403" t="s">
        <v>607</v>
      </c>
      <c r="H129" s="404" t="s">
        <v>604</v>
      </c>
      <c r="I129" s="403" t="s">
        <v>552</v>
      </c>
      <c r="J129" s="390" t="s">
        <v>365</v>
      </c>
      <c r="K129" s="390" t="s">
        <v>229</v>
      </c>
      <c r="L129" s="416" t="s">
        <v>362</v>
      </c>
      <c r="M129" s="508" t="s">
        <v>515</v>
      </c>
      <c r="N129" s="408" t="s">
        <v>599</v>
      </c>
      <c r="O129" s="505"/>
      <c r="P129" s="505"/>
      <c r="Q129" s="505"/>
      <c r="R129" s="505"/>
      <c r="S129" s="505"/>
      <c r="T129" s="505"/>
      <c r="U129" s="502"/>
      <c r="V129" s="502"/>
      <c r="W129" s="603"/>
      <c r="X129" s="597"/>
      <c r="Y129" s="602"/>
      <c r="Z129" s="654">
        <f t="shared" si="34"/>
        <v>0</v>
      </c>
      <c r="AA129" s="617"/>
      <c r="AB129" s="400" t="e">
        <f t="shared" si="27"/>
        <v>#DIV/0!</v>
      </c>
      <c r="AC129" s="397"/>
      <c r="AD129" s="1113"/>
      <c r="AE129" s="1113"/>
      <c r="AF129" s="654">
        <f t="shared" si="35"/>
        <v>0</v>
      </c>
      <c r="AG129" s="617"/>
      <c r="AH129" s="400" t="e">
        <f t="shared" si="0"/>
        <v>#DIV/0!</v>
      </c>
      <c r="AI129" s="397"/>
      <c r="AK129" s="611"/>
      <c r="AL129" s="612"/>
      <c r="AM129" s="613"/>
    </row>
    <row r="130" spans="1:39" s="550" customFormat="1" ht="35.1" hidden="1" customHeight="1">
      <c r="A130" s="573"/>
      <c r="B130" s="542"/>
      <c r="C130" s="542"/>
      <c r="D130" s="542"/>
      <c r="E130" s="518" t="s">
        <v>553</v>
      </c>
      <c r="F130" s="543"/>
      <c r="G130" s="544"/>
      <c r="H130" s="545"/>
      <c r="I130" s="544"/>
      <c r="J130" s="546"/>
      <c r="K130" s="546"/>
      <c r="L130" s="547"/>
      <c r="M130" s="548"/>
      <c r="N130" s="549"/>
      <c r="O130" s="406"/>
      <c r="P130" s="406"/>
      <c r="Q130" s="406"/>
      <c r="R130" s="406"/>
      <c r="S130" s="406"/>
      <c r="T130" s="406"/>
      <c r="U130" s="409"/>
      <c r="V130" s="409"/>
      <c r="W130" s="622"/>
      <c r="X130" s="623"/>
      <c r="Y130" s="624"/>
      <c r="Z130" s="625"/>
      <c r="AA130" s="617"/>
      <c r="AB130" s="626"/>
      <c r="AC130" s="543"/>
      <c r="AD130" s="1116"/>
      <c r="AE130" s="1116"/>
      <c r="AF130" s="625"/>
      <c r="AG130" s="617"/>
      <c r="AH130" s="626"/>
      <c r="AI130" s="543"/>
      <c r="AK130" s="611"/>
      <c r="AL130" s="612"/>
      <c r="AM130" s="613"/>
    </row>
    <row r="131" spans="1:39" ht="142.9" hidden="1" customHeight="1">
      <c r="A131" s="496">
        <v>34</v>
      </c>
      <c r="B131" s="497"/>
      <c r="C131" s="497" t="s">
        <v>588</v>
      </c>
      <c r="D131" s="497"/>
      <c r="E131" s="528" t="s">
        <v>601</v>
      </c>
      <c r="F131" s="668" t="s">
        <v>679</v>
      </c>
      <c r="G131" s="403" t="s">
        <v>607</v>
      </c>
      <c r="H131" s="404" t="s">
        <v>604</v>
      </c>
      <c r="I131" s="403" t="s">
        <v>544</v>
      </c>
      <c r="J131" s="390" t="s">
        <v>365</v>
      </c>
      <c r="K131" s="390" t="s">
        <v>229</v>
      </c>
      <c r="L131" s="416"/>
      <c r="M131" s="508" t="s">
        <v>515</v>
      </c>
      <c r="N131" s="408" t="s">
        <v>599</v>
      </c>
      <c r="O131" s="505"/>
      <c r="P131" s="505"/>
      <c r="Q131" s="505"/>
      <c r="R131" s="505"/>
      <c r="S131" s="505"/>
      <c r="T131" s="505"/>
      <c r="U131" s="502"/>
      <c r="V131" s="502"/>
      <c r="W131" s="603"/>
      <c r="X131" s="597"/>
      <c r="Y131" s="602"/>
      <c r="Z131" s="654">
        <f t="shared" ref="Z131:Z138" si="36">Q131/2</f>
        <v>0</v>
      </c>
      <c r="AA131" s="617"/>
      <c r="AB131" s="400" t="e">
        <f t="shared" si="27"/>
        <v>#DIV/0!</v>
      </c>
      <c r="AC131" s="397"/>
      <c r="AD131" s="1113"/>
      <c r="AE131" s="1113"/>
      <c r="AF131" s="654">
        <f t="shared" ref="AF131:AF138" si="37">Q131/2</f>
        <v>0</v>
      </c>
      <c r="AG131" s="617"/>
      <c r="AH131" s="400" t="e">
        <f t="shared" si="0"/>
        <v>#DIV/0!</v>
      </c>
      <c r="AI131" s="397"/>
      <c r="AK131" s="611"/>
      <c r="AL131" s="612"/>
      <c r="AM131" s="613"/>
    </row>
    <row r="132" spans="1:39" ht="38.25" hidden="1">
      <c r="A132" s="506"/>
      <c r="B132" s="497"/>
      <c r="C132" s="497"/>
      <c r="D132" s="497"/>
      <c r="E132" s="503" t="s">
        <v>605</v>
      </c>
      <c r="F132" s="667"/>
      <c r="G132" s="403"/>
      <c r="H132" s="404" t="s">
        <v>576</v>
      </c>
      <c r="I132" s="403"/>
      <c r="J132" s="390"/>
      <c r="K132" s="390"/>
      <c r="L132" s="416" t="s">
        <v>602</v>
      </c>
      <c r="M132" s="508" t="s">
        <v>515</v>
      </c>
      <c r="N132" s="408" t="s">
        <v>599</v>
      </c>
      <c r="O132" s="505"/>
      <c r="P132" s="505"/>
      <c r="Q132" s="505"/>
      <c r="R132" s="505"/>
      <c r="S132" s="505"/>
      <c r="T132" s="505"/>
      <c r="U132" s="502"/>
      <c r="V132" s="502"/>
      <c r="W132" s="603"/>
      <c r="X132" s="597"/>
      <c r="Y132" s="602"/>
      <c r="Z132" s="654">
        <f t="shared" si="36"/>
        <v>0</v>
      </c>
      <c r="AA132" s="617"/>
      <c r="AB132" s="400" t="e">
        <f t="shared" si="27"/>
        <v>#DIV/0!</v>
      </c>
      <c r="AC132" s="397"/>
      <c r="AD132" s="1113"/>
      <c r="AE132" s="1113"/>
      <c r="AF132" s="654">
        <f t="shared" si="37"/>
        <v>0</v>
      </c>
      <c r="AG132" s="617"/>
      <c r="AH132" s="400" t="e">
        <f t="shared" si="0"/>
        <v>#DIV/0!</v>
      </c>
      <c r="AI132" s="397"/>
      <c r="AK132" s="611"/>
      <c r="AL132" s="612"/>
      <c r="AM132" s="613"/>
    </row>
    <row r="133" spans="1:39" ht="43.15" hidden="1" customHeight="1">
      <c r="A133" s="506"/>
      <c r="B133" s="497"/>
      <c r="C133" s="497"/>
      <c r="D133" s="497"/>
      <c r="E133" s="529" t="s">
        <v>649</v>
      </c>
      <c r="F133" s="667"/>
      <c r="G133" s="403"/>
      <c r="H133" s="404" t="s">
        <v>604</v>
      </c>
      <c r="I133" s="403"/>
      <c r="J133" s="390"/>
      <c r="K133" s="390"/>
      <c r="L133" s="416" t="s">
        <v>606</v>
      </c>
      <c r="M133" s="508" t="s">
        <v>515</v>
      </c>
      <c r="N133" s="408" t="s">
        <v>599</v>
      </c>
      <c r="O133" s="505"/>
      <c r="P133" s="505"/>
      <c r="Q133" s="505"/>
      <c r="R133" s="505"/>
      <c r="S133" s="505"/>
      <c r="T133" s="505"/>
      <c r="U133" s="502"/>
      <c r="V133" s="502"/>
      <c r="W133" s="603"/>
      <c r="X133" s="597"/>
      <c r="Y133" s="602"/>
      <c r="Z133" s="654">
        <f t="shared" si="36"/>
        <v>0</v>
      </c>
      <c r="AA133" s="617"/>
      <c r="AB133" s="400" t="e">
        <f t="shared" si="27"/>
        <v>#DIV/0!</v>
      </c>
      <c r="AC133" s="397"/>
      <c r="AD133" s="1113"/>
      <c r="AE133" s="1113"/>
      <c r="AF133" s="654">
        <f t="shared" si="37"/>
        <v>0</v>
      </c>
      <c r="AG133" s="617"/>
      <c r="AH133" s="400" t="e">
        <f t="shared" si="0"/>
        <v>#DIV/0!</v>
      </c>
      <c r="AI133" s="397"/>
      <c r="AK133" s="611"/>
      <c r="AL133" s="612"/>
      <c r="AM133" s="613"/>
    </row>
    <row r="134" spans="1:39" ht="33" hidden="1" customHeight="1">
      <c r="A134" s="506"/>
      <c r="B134" s="497"/>
      <c r="C134" s="497"/>
      <c r="D134" s="497"/>
      <c r="E134" s="529" t="s">
        <v>650</v>
      </c>
      <c r="F134" s="667"/>
      <c r="G134" s="403"/>
      <c r="H134" s="404" t="s">
        <v>604</v>
      </c>
      <c r="I134" s="403"/>
      <c r="J134" s="390"/>
      <c r="K134" s="390"/>
      <c r="L134" s="416" t="s">
        <v>435</v>
      </c>
      <c r="M134" s="508" t="s">
        <v>515</v>
      </c>
      <c r="N134" s="408">
        <v>15</v>
      </c>
      <c r="O134" s="505"/>
      <c r="P134" s="505"/>
      <c r="Q134" s="505"/>
      <c r="R134" s="505"/>
      <c r="S134" s="505"/>
      <c r="T134" s="505"/>
      <c r="U134" s="502"/>
      <c r="V134" s="502"/>
      <c r="W134" s="603"/>
      <c r="X134" s="597"/>
      <c r="Y134" s="602"/>
      <c r="Z134" s="654">
        <f t="shared" si="36"/>
        <v>0</v>
      </c>
      <c r="AA134" s="617"/>
      <c r="AB134" s="400" t="e">
        <f t="shared" si="27"/>
        <v>#DIV/0!</v>
      </c>
      <c r="AC134" s="397"/>
      <c r="AD134" s="1113"/>
      <c r="AE134" s="1113"/>
      <c r="AF134" s="654">
        <f t="shared" si="37"/>
        <v>0</v>
      </c>
      <c r="AG134" s="617"/>
      <c r="AH134" s="400" t="e">
        <f t="shared" si="0"/>
        <v>#DIV/0!</v>
      </c>
      <c r="AI134" s="397"/>
      <c r="AK134" s="611"/>
      <c r="AL134" s="612"/>
      <c r="AM134" s="613"/>
    </row>
    <row r="135" spans="1:39" ht="49.5" hidden="1" customHeight="1">
      <c r="A135" s="506"/>
      <c r="B135" s="497"/>
      <c r="C135" s="497"/>
      <c r="D135" s="497"/>
      <c r="E135" s="529" t="s">
        <v>651</v>
      </c>
      <c r="F135" s="667"/>
      <c r="G135" s="403"/>
      <c r="H135" s="404" t="s">
        <v>604</v>
      </c>
      <c r="I135" s="403"/>
      <c r="J135" s="390"/>
      <c r="K135" s="390"/>
      <c r="L135" s="416" t="s">
        <v>435</v>
      </c>
      <c r="M135" s="508" t="s">
        <v>515</v>
      </c>
      <c r="N135" s="408">
        <v>15</v>
      </c>
      <c r="O135" s="505"/>
      <c r="P135" s="505"/>
      <c r="Q135" s="505"/>
      <c r="R135" s="505"/>
      <c r="S135" s="505"/>
      <c r="T135" s="505"/>
      <c r="U135" s="502"/>
      <c r="V135" s="502"/>
      <c r="W135" s="603"/>
      <c r="X135" s="597"/>
      <c r="Y135" s="602"/>
      <c r="Z135" s="654">
        <f t="shared" si="36"/>
        <v>0</v>
      </c>
      <c r="AA135" s="617"/>
      <c r="AB135" s="400"/>
      <c r="AC135" s="397"/>
      <c r="AD135" s="1113"/>
      <c r="AE135" s="1113"/>
      <c r="AF135" s="654">
        <f t="shared" si="37"/>
        <v>0</v>
      </c>
      <c r="AG135" s="617"/>
      <c r="AH135" s="400"/>
      <c r="AI135" s="397"/>
      <c r="AK135" s="611"/>
      <c r="AL135" s="612"/>
      <c r="AM135" s="613"/>
    </row>
    <row r="136" spans="1:39" ht="53.25" hidden="1" customHeight="1">
      <c r="A136" s="506"/>
      <c r="B136" s="497"/>
      <c r="C136" s="497"/>
      <c r="D136" s="497"/>
      <c r="E136" s="529" t="s">
        <v>652</v>
      </c>
      <c r="F136" s="667"/>
      <c r="G136" s="403"/>
      <c r="H136" s="404" t="s">
        <v>604</v>
      </c>
      <c r="I136" s="403"/>
      <c r="J136" s="390"/>
      <c r="K136" s="390"/>
      <c r="L136" s="416" t="s">
        <v>435</v>
      </c>
      <c r="M136" s="508" t="s">
        <v>515</v>
      </c>
      <c r="N136" s="408">
        <v>10</v>
      </c>
      <c r="O136" s="505"/>
      <c r="P136" s="505"/>
      <c r="Q136" s="505"/>
      <c r="R136" s="505"/>
      <c r="S136" s="505"/>
      <c r="T136" s="505"/>
      <c r="U136" s="502"/>
      <c r="V136" s="502"/>
      <c r="W136" s="603"/>
      <c r="X136" s="597"/>
      <c r="Y136" s="602"/>
      <c r="Z136" s="654">
        <f t="shared" si="36"/>
        <v>0</v>
      </c>
      <c r="AA136" s="617"/>
      <c r="AB136" s="400" t="e">
        <f t="shared" si="27"/>
        <v>#DIV/0!</v>
      </c>
      <c r="AC136" s="397"/>
      <c r="AD136" s="1113"/>
      <c r="AE136" s="1113"/>
      <c r="AF136" s="654">
        <f t="shared" si="37"/>
        <v>0</v>
      </c>
      <c r="AG136" s="617"/>
      <c r="AH136" s="400" t="e">
        <f t="shared" si="0"/>
        <v>#DIV/0!</v>
      </c>
      <c r="AI136" s="397"/>
      <c r="AK136" s="611"/>
      <c r="AL136" s="612"/>
      <c r="AM136" s="613"/>
    </row>
    <row r="137" spans="1:39" ht="54.75" hidden="1" customHeight="1">
      <c r="A137" s="506"/>
      <c r="B137" s="497"/>
      <c r="C137" s="497"/>
      <c r="D137" s="497"/>
      <c r="E137" s="529" t="s">
        <v>653</v>
      </c>
      <c r="F137" s="667"/>
      <c r="G137" s="403"/>
      <c r="H137" s="404" t="s">
        <v>604</v>
      </c>
      <c r="I137" s="403"/>
      <c r="J137" s="390"/>
      <c r="K137" s="390"/>
      <c r="L137" s="416" t="s">
        <v>435</v>
      </c>
      <c r="M137" s="508" t="s">
        <v>515</v>
      </c>
      <c r="N137" s="408">
        <v>10</v>
      </c>
      <c r="O137" s="505"/>
      <c r="P137" s="505"/>
      <c r="Q137" s="505"/>
      <c r="R137" s="505"/>
      <c r="S137" s="505"/>
      <c r="T137" s="505"/>
      <c r="U137" s="502"/>
      <c r="V137" s="502"/>
      <c r="W137" s="603"/>
      <c r="X137" s="597"/>
      <c r="Y137" s="602"/>
      <c r="Z137" s="654">
        <f t="shared" si="36"/>
        <v>0</v>
      </c>
      <c r="AA137" s="617"/>
      <c r="AB137" s="400"/>
      <c r="AC137" s="397"/>
      <c r="AD137" s="1113"/>
      <c r="AE137" s="1113"/>
      <c r="AF137" s="654">
        <f t="shared" si="37"/>
        <v>0</v>
      </c>
      <c r="AG137" s="617"/>
      <c r="AH137" s="400"/>
      <c r="AI137" s="397"/>
      <c r="AK137" s="611"/>
      <c r="AL137" s="612"/>
      <c r="AM137" s="613"/>
    </row>
    <row r="138" spans="1:39" ht="43.15" hidden="1" customHeight="1" thickBot="1">
      <c r="A138" s="506"/>
      <c r="B138" s="497"/>
      <c r="C138" s="497"/>
      <c r="D138" s="497"/>
      <c r="E138" s="529" t="s">
        <v>603</v>
      </c>
      <c r="F138" s="667"/>
      <c r="G138" s="403"/>
      <c r="H138" s="404" t="s">
        <v>604</v>
      </c>
      <c r="I138" s="403"/>
      <c r="J138" s="390"/>
      <c r="K138" s="390"/>
      <c r="L138" s="416" t="s">
        <v>435</v>
      </c>
      <c r="M138" s="508" t="s">
        <v>515</v>
      </c>
      <c r="N138" s="408">
        <v>20000</v>
      </c>
      <c r="O138" s="505"/>
      <c r="P138" s="505"/>
      <c r="Q138" s="505"/>
      <c r="R138" s="505"/>
      <c r="S138" s="505"/>
      <c r="T138" s="505"/>
      <c r="U138" s="502"/>
      <c r="V138" s="502"/>
      <c r="W138" s="605"/>
      <c r="X138" s="606"/>
      <c r="Y138" s="607"/>
      <c r="Z138" s="654">
        <f t="shared" si="36"/>
        <v>0</v>
      </c>
      <c r="AA138" s="617"/>
      <c r="AB138" s="400" t="e">
        <f t="shared" si="27"/>
        <v>#DIV/0!</v>
      </c>
      <c r="AC138" s="397"/>
      <c r="AD138" s="1113"/>
      <c r="AE138" s="1113"/>
      <c r="AF138" s="654">
        <f t="shared" si="37"/>
        <v>0</v>
      </c>
      <c r="AG138" s="617"/>
      <c r="AH138" s="400" t="e">
        <f t="shared" si="0"/>
        <v>#DIV/0!</v>
      </c>
      <c r="AI138" s="397"/>
      <c r="AK138" s="618"/>
      <c r="AL138" s="619"/>
      <c r="AM138" s="620"/>
    </row>
    <row r="139" spans="1:39" ht="43.15" hidden="1" customHeight="1" thickBot="1">
      <c r="A139" s="506"/>
      <c r="B139" s="497"/>
      <c r="C139" s="497"/>
      <c r="D139" s="497"/>
      <c r="E139" s="503"/>
      <c r="F139" s="397"/>
      <c r="G139" s="403"/>
      <c r="H139" s="404"/>
      <c r="I139" s="403"/>
      <c r="J139" s="390"/>
      <c r="K139" s="390"/>
      <c r="L139" s="416"/>
      <c r="M139" s="407"/>
      <c r="N139" s="408"/>
      <c r="O139" s="406"/>
      <c r="P139" s="406"/>
      <c r="Q139" s="406"/>
      <c r="R139" s="406"/>
      <c r="S139" s="406"/>
      <c r="T139" s="406"/>
      <c r="U139" s="409"/>
      <c r="V139" s="601"/>
      <c r="W139" s="601"/>
      <c r="X139" s="601"/>
      <c r="Y139" s="601"/>
      <c r="Z139" s="401"/>
      <c r="AA139" s="399"/>
      <c r="AB139" s="400" t="e">
        <f t="shared" si="27"/>
        <v>#DIV/0!</v>
      </c>
      <c r="AC139" s="397"/>
      <c r="AD139" s="1113"/>
      <c r="AE139" s="1113"/>
      <c r="AF139" s="398"/>
      <c r="AG139" s="399"/>
      <c r="AH139" s="400" t="e">
        <f t="shared" si="0"/>
        <v>#DIV/0!</v>
      </c>
      <c r="AI139" s="397"/>
    </row>
    <row r="140" spans="1:39" ht="43.15" hidden="1" customHeight="1">
      <c r="A140" s="506"/>
      <c r="B140" s="497"/>
      <c r="C140" s="497"/>
      <c r="D140" s="497"/>
      <c r="E140" s="498"/>
      <c r="F140" s="397"/>
      <c r="G140" s="403"/>
      <c r="H140" s="404"/>
      <c r="I140" s="403"/>
      <c r="J140" s="390"/>
      <c r="K140" s="390"/>
      <c r="L140" s="416"/>
      <c r="M140" s="407"/>
      <c r="N140" s="408"/>
      <c r="O140" s="406"/>
      <c r="P140" s="406"/>
      <c r="Q140" s="406"/>
      <c r="R140" s="406"/>
      <c r="S140" s="406"/>
      <c r="T140" s="406"/>
      <c r="U140" s="409"/>
      <c r="V140" s="599"/>
      <c r="W140" s="599"/>
      <c r="X140" s="599"/>
      <c r="Y140" s="599"/>
      <c r="Z140" s="401"/>
      <c r="AA140" s="399"/>
      <c r="AB140" s="400" t="e">
        <f t="shared" si="27"/>
        <v>#DIV/0!</v>
      </c>
      <c r="AC140" s="397"/>
      <c r="AD140" s="1113"/>
      <c r="AE140" s="1113"/>
      <c r="AF140" s="398"/>
      <c r="AG140" s="399"/>
      <c r="AH140" s="400" t="e">
        <f t="shared" si="0"/>
        <v>#DIV/0!</v>
      </c>
      <c r="AI140" s="397"/>
    </row>
    <row r="141" spans="1:39" ht="43.15" hidden="1" customHeight="1">
      <c r="A141" s="506"/>
      <c r="B141" s="497"/>
      <c r="C141" s="497"/>
      <c r="D141" s="497"/>
      <c r="E141" s="498"/>
      <c r="F141" s="397"/>
      <c r="G141" s="403"/>
      <c r="H141" s="404"/>
      <c r="I141" s="403"/>
      <c r="J141" s="390"/>
      <c r="K141" s="390"/>
      <c r="L141" s="416"/>
      <c r="M141" s="407"/>
      <c r="N141" s="408"/>
      <c r="O141" s="406"/>
      <c r="P141" s="406"/>
      <c r="Q141" s="406"/>
      <c r="R141" s="406"/>
      <c r="S141" s="406"/>
      <c r="T141" s="406"/>
      <c r="U141" s="409"/>
      <c r="V141" s="599"/>
      <c r="W141" s="599"/>
      <c r="X141" s="599"/>
      <c r="Y141" s="599"/>
      <c r="Z141" s="401"/>
      <c r="AA141" s="399"/>
      <c r="AB141" s="400" t="e">
        <f t="shared" si="27"/>
        <v>#DIV/0!</v>
      </c>
      <c r="AC141" s="397"/>
      <c r="AD141" s="1113"/>
      <c r="AE141" s="1113"/>
      <c r="AF141" s="398"/>
      <c r="AG141" s="399"/>
      <c r="AH141" s="400" t="e">
        <f t="shared" si="0"/>
        <v>#DIV/0!</v>
      </c>
      <c r="AI141" s="397"/>
    </row>
    <row r="142" spans="1:39" ht="43.15" hidden="1" customHeight="1">
      <c r="A142" s="506"/>
      <c r="B142" s="497"/>
      <c r="C142" s="497"/>
      <c r="D142" s="497"/>
      <c r="E142" s="498"/>
      <c r="F142" s="397"/>
      <c r="G142" s="403"/>
      <c r="H142" s="404"/>
      <c r="I142" s="403"/>
      <c r="J142" s="390"/>
      <c r="K142" s="390"/>
      <c r="L142" s="416"/>
      <c r="M142" s="407"/>
      <c r="N142" s="408"/>
      <c r="O142" s="406"/>
      <c r="P142" s="406"/>
      <c r="Q142" s="406"/>
      <c r="R142" s="406"/>
      <c r="S142" s="406"/>
      <c r="T142" s="406"/>
      <c r="U142" s="409"/>
      <c r="V142" s="599"/>
      <c r="W142" s="599"/>
      <c r="X142" s="599"/>
      <c r="Y142" s="599"/>
      <c r="Z142" s="401"/>
      <c r="AA142" s="399"/>
      <c r="AB142" s="400" t="e">
        <f t="shared" si="27"/>
        <v>#DIV/0!</v>
      </c>
      <c r="AC142" s="397"/>
      <c r="AD142" s="1113"/>
      <c r="AE142" s="1113"/>
      <c r="AF142" s="398"/>
      <c r="AG142" s="399"/>
      <c r="AH142" s="400" t="e">
        <f t="shared" si="0"/>
        <v>#DIV/0!</v>
      </c>
      <c r="AI142" s="397"/>
    </row>
    <row r="143" spans="1:39" ht="43.15" hidden="1" customHeight="1">
      <c r="A143" s="506"/>
      <c r="B143" s="497"/>
      <c r="C143" s="497"/>
      <c r="D143" s="497"/>
      <c r="E143" s="498"/>
      <c r="F143" s="397"/>
      <c r="G143" s="403"/>
      <c r="H143" s="404"/>
      <c r="I143" s="403"/>
      <c r="J143" s="390"/>
      <c r="K143" s="390"/>
      <c r="L143" s="416"/>
      <c r="M143" s="407"/>
      <c r="N143" s="408"/>
      <c r="O143" s="406"/>
      <c r="P143" s="406"/>
      <c r="Q143" s="406"/>
      <c r="R143" s="406"/>
      <c r="S143" s="406"/>
      <c r="T143" s="406"/>
      <c r="U143" s="409"/>
      <c r="V143" s="599"/>
      <c r="W143" s="599"/>
      <c r="X143" s="599"/>
      <c r="Y143" s="599"/>
      <c r="Z143" s="401"/>
      <c r="AA143" s="399"/>
      <c r="AB143" s="400" t="e">
        <f t="shared" ref="AB143:AB198" si="38">AA143/Z143</f>
        <v>#DIV/0!</v>
      </c>
      <c r="AC143" s="397"/>
      <c r="AD143" s="1113"/>
      <c r="AE143" s="1113"/>
      <c r="AF143" s="398"/>
      <c r="AG143" s="399"/>
      <c r="AH143" s="400" t="e">
        <f t="shared" ref="AH143:AH198" si="39">AG143/AF143</f>
        <v>#DIV/0!</v>
      </c>
      <c r="AI143" s="397"/>
    </row>
    <row r="144" spans="1:39" ht="43.15" hidden="1" customHeight="1">
      <c r="A144" s="506"/>
      <c r="B144" s="497"/>
      <c r="C144" s="497"/>
      <c r="D144" s="497"/>
      <c r="E144" s="498"/>
      <c r="F144" s="397"/>
      <c r="G144" s="403"/>
      <c r="H144" s="404"/>
      <c r="I144" s="403"/>
      <c r="J144" s="390"/>
      <c r="K144" s="390"/>
      <c r="L144" s="416"/>
      <c r="M144" s="407"/>
      <c r="N144" s="408"/>
      <c r="O144" s="406"/>
      <c r="P144" s="406"/>
      <c r="Q144" s="406"/>
      <c r="R144" s="406"/>
      <c r="S144" s="406"/>
      <c r="T144" s="406"/>
      <c r="U144" s="409"/>
      <c r="V144" s="599"/>
      <c r="W144" s="599"/>
      <c r="X144" s="599"/>
      <c r="Y144" s="599"/>
      <c r="Z144" s="401"/>
      <c r="AA144" s="399"/>
      <c r="AB144" s="400" t="e">
        <f t="shared" si="38"/>
        <v>#DIV/0!</v>
      </c>
      <c r="AC144" s="397"/>
      <c r="AD144" s="1113"/>
      <c r="AE144" s="1113"/>
      <c r="AF144" s="398"/>
      <c r="AG144" s="399"/>
      <c r="AH144" s="400" t="e">
        <f t="shared" si="39"/>
        <v>#DIV/0!</v>
      </c>
      <c r="AI144" s="397"/>
    </row>
    <row r="145" spans="1:35" ht="43.15" hidden="1" customHeight="1">
      <c r="A145" s="506"/>
      <c r="B145" s="497"/>
      <c r="C145" s="497"/>
      <c r="D145" s="497"/>
      <c r="E145" s="498"/>
      <c r="F145" s="397"/>
      <c r="G145" s="403"/>
      <c r="H145" s="404"/>
      <c r="I145" s="403"/>
      <c r="J145" s="390"/>
      <c r="K145" s="390"/>
      <c r="L145" s="416"/>
      <c r="M145" s="407"/>
      <c r="N145" s="408"/>
      <c r="O145" s="406"/>
      <c r="P145" s="406"/>
      <c r="Q145" s="406"/>
      <c r="R145" s="406"/>
      <c r="S145" s="406"/>
      <c r="T145" s="406"/>
      <c r="U145" s="409"/>
      <c r="V145" s="599"/>
      <c r="W145" s="599"/>
      <c r="X145" s="599"/>
      <c r="Y145" s="599"/>
      <c r="Z145" s="401"/>
      <c r="AA145" s="399"/>
      <c r="AB145" s="400" t="e">
        <f t="shared" si="38"/>
        <v>#DIV/0!</v>
      </c>
      <c r="AC145" s="397"/>
      <c r="AD145" s="1113"/>
      <c r="AE145" s="1113"/>
      <c r="AF145" s="398"/>
      <c r="AG145" s="399"/>
      <c r="AH145" s="400" t="e">
        <f t="shared" si="39"/>
        <v>#DIV/0!</v>
      </c>
      <c r="AI145" s="397"/>
    </row>
    <row r="146" spans="1:35" ht="43.15" hidden="1" customHeight="1">
      <c r="A146" s="506"/>
      <c r="B146" s="497"/>
      <c r="C146" s="497"/>
      <c r="D146" s="497"/>
      <c r="E146" s="498"/>
      <c r="F146" s="397"/>
      <c r="G146" s="403"/>
      <c r="H146" s="404"/>
      <c r="I146" s="403"/>
      <c r="J146" s="390"/>
      <c r="K146" s="390"/>
      <c r="L146" s="416"/>
      <c r="M146" s="407"/>
      <c r="N146" s="408"/>
      <c r="O146" s="406"/>
      <c r="P146" s="406"/>
      <c r="Q146" s="406"/>
      <c r="R146" s="406"/>
      <c r="S146" s="406"/>
      <c r="T146" s="406"/>
      <c r="U146" s="409"/>
      <c r="V146" s="599"/>
      <c r="W146" s="599"/>
      <c r="X146" s="599"/>
      <c r="Y146" s="599"/>
      <c r="Z146" s="401"/>
      <c r="AA146" s="399"/>
      <c r="AB146" s="400" t="e">
        <f t="shared" si="38"/>
        <v>#DIV/0!</v>
      </c>
      <c r="AC146" s="397"/>
      <c r="AD146" s="1113"/>
      <c r="AE146" s="1113"/>
      <c r="AF146" s="398"/>
      <c r="AG146" s="399"/>
      <c r="AH146" s="400" t="e">
        <f t="shared" si="39"/>
        <v>#DIV/0!</v>
      </c>
      <c r="AI146" s="397"/>
    </row>
    <row r="147" spans="1:35" ht="43.15" hidden="1" customHeight="1">
      <c r="A147" s="506"/>
      <c r="B147" s="497"/>
      <c r="C147" s="497"/>
      <c r="D147" s="497"/>
      <c r="E147" s="498"/>
      <c r="F147" s="397"/>
      <c r="G147" s="403"/>
      <c r="H147" s="404"/>
      <c r="I147" s="403"/>
      <c r="J147" s="390"/>
      <c r="K147" s="390"/>
      <c r="L147" s="416"/>
      <c r="M147" s="407"/>
      <c r="N147" s="408"/>
      <c r="O147" s="406"/>
      <c r="P147" s="406"/>
      <c r="Q147" s="406"/>
      <c r="R147" s="406"/>
      <c r="S147" s="406"/>
      <c r="T147" s="406"/>
      <c r="U147" s="409"/>
      <c r="V147" s="599"/>
      <c r="W147" s="599"/>
      <c r="X147" s="599"/>
      <c r="Y147" s="599"/>
      <c r="Z147" s="401"/>
      <c r="AA147" s="399"/>
      <c r="AB147" s="400" t="e">
        <f t="shared" si="38"/>
        <v>#DIV/0!</v>
      </c>
      <c r="AC147" s="397"/>
      <c r="AD147" s="1113"/>
      <c r="AE147" s="1113"/>
      <c r="AF147" s="398"/>
      <c r="AG147" s="399"/>
      <c r="AH147" s="400" t="e">
        <f t="shared" si="39"/>
        <v>#DIV/0!</v>
      </c>
      <c r="AI147" s="397"/>
    </row>
    <row r="148" spans="1:35" ht="43.15" hidden="1" customHeight="1">
      <c r="A148" s="506"/>
      <c r="B148" s="497"/>
      <c r="C148" s="497"/>
      <c r="D148" s="497"/>
      <c r="E148" s="498"/>
      <c r="F148" s="397"/>
      <c r="G148" s="403"/>
      <c r="H148" s="404"/>
      <c r="I148" s="403"/>
      <c r="J148" s="390"/>
      <c r="K148" s="390"/>
      <c r="L148" s="416"/>
      <c r="M148" s="407"/>
      <c r="N148" s="408"/>
      <c r="O148" s="406"/>
      <c r="P148" s="406"/>
      <c r="Q148" s="406"/>
      <c r="R148" s="406"/>
      <c r="S148" s="406"/>
      <c r="T148" s="406"/>
      <c r="U148" s="409"/>
      <c r="V148" s="599"/>
      <c r="W148" s="599"/>
      <c r="X148" s="599"/>
      <c r="Y148" s="599"/>
      <c r="Z148" s="401"/>
      <c r="AA148" s="399"/>
      <c r="AB148" s="400" t="e">
        <f t="shared" si="38"/>
        <v>#DIV/0!</v>
      </c>
      <c r="AC148" s="397"/>
      <c r="AD148" s="1113"/>
      <c r="AE148" s="1113"/>
      <c r="AF148" s="398"/>
      <c r="AG148" s="399"/>
      <c r="AH148" s="400" t="e">
        <f t="shared" si="39"/>
        <v>#DIV/0!</v>
      </c>
      <c r="AI148" s="397"/>
    </row>
    <row r="149" spans="1:35" ht="43.15" hidden="1" customHeight="1">
      <c r="A149" s="506"/>
      <c r="B149" s="497"/>
      <c r="C149" s="497"/>
      <c r="D149" s="497"/>
      <c r="E149" s="498"/>
      <c r="F149" s="397"/>
      <c r="G149" s="403"/>
      <c r="H149" s="404"/>
      <c r="I149" s="403"/>
      <c r="J149" s="390"/>
      <c r="K149" s="390"/>
      <c r="L149" s="416"/>
      <c r="M149" s="407"/>
      <c r="N149" s="408"/>
      <c r="O149" s="406"/>
      <c r="P149" s="406"/>
      <c r="Q149" s="406"/>
      <c r="R149" s="406"/>
      <c r="S149" s="406"/>
      <c r="T149" s="406"/>
      <c r="U149" s="409"/>
      <c r="V149" s="599"/>
      <c r="W149" s="599"/>
      <c r="X149" s="599"/>
      <c r="Y149" s="599"/>
      <c r="Z149" s="401"/>
      <c r="AA149" s="399"/>
      <c r="AB149" s="400" t="e">
        <f t="shared" si="38"/>
        <v>#DIV/0!</v>
      </c>
      <c r="AC149" s="397"/>
      <c r="AD149" s="1113"/>
      <c r="AE149" s="1113"/>
      <c r="AF149" s="398"/>
      <c r="AG149" s="399"/>
      <c r="AH149" s="400" t="e">
        <f t="shared" si="39"/>
        <v>#DIV/0!</v>
      </c>
      <c r="AI149" s="397"/>
    </row>
    <row r="150" spans="1:35" ht="43.15" hidden="1" customHeight="1">
      <c r="A150" s="506"/>
      <c r="B150" s="497"/>
      <c r="C150" s="497"/>
      <c r="D150" s="497"/>
      <c r="E150" s="498"/>
      <c r="F150" s="397"/>
      <c r="G150" s="403"/>
      <c r="H150" s="404"/>
      <c r="I150" s="403"/>
      <c r="J150" s="390"/>
      <c r="K150" s="390"/>
      <c r="L150" s="416"/>
      <c r="M150" s="407"/>
      <c r="N150" s="408"/>
      <c r="O150" s="406"/>
      <c r="P150" s="406"/>
      <c r="Q150" s="406"/>
      <c r="R150" s="406"/>
      <c r="S150" s="406"/>
      <c r="T150" s="406"/>
      <c r="U150" s="409"/>
      <c r="V150" s="599"/>
      <c r="W150" s="599"/>
      <c r="X150" s="599"/>
      <c r="Y150" s="599"/>
      <c r="Z150" s="401"/>
      <c r="AA150" s="399"/>
      <c r="AB150" s="400" t="e">
        <f t="shared" si="38"/>
        <v>#DIV/0!</v>
      </c>
      <c r="AC150" s="397"/>
      <c r="AD150" s="1113"/>
      <c r="AE150" s="1113"/>
      <c r="AF150" s="398"/>
      <c r="AG150" s="399"/>
      <c r="AH150" s="400" t="e">
        <f t="shared" si="39"/>
        <v>#DIV/0!</v>
      </c>
      <c r="AI150" s="397"/>
    </row>
    <row r="151" spans="1:35" ht="43.15" hidden="1" customHeight="1">
      <c r="A151" s="506"/>
      <c r="B151" s="497"/>
      <c r="C151" s="497"/>
      <c r="D151" s="497"/>
      <c r="E151" s="498"/>
      <c r="F151" s="397"/>
      <c r="G151" s="403"/>
      <c r="H151" s="404"/>
      <c r="I151" s="403"/>
      <c r="J151" s="390"/>
      <c r="K151" s="390"/>
      <c r="L151" s="416"/>
      <c r="M151" s="407"/>
      <c r="N151" s="408"/>
      <c r="O151" s="406"/>
      <c r="P151" s="406"/>
      <c r="Q151" s="406"/>
      <c r="R151" s="406"/>
      <c r="S151" s="406"/>
      <c r="T151" s="406"/>
      <c r="U151" s="409"/>
      <c r="V151" s="599"/>
      <c r="W151" s="599"/>
      <c r="X151" s="599"/>
      <c r="Y151" s="599"/>
      <c r="Z151" s="401"/>
      <c r="AA151" s="399"/>
      <c r="AB151" s="400" t="e">
        <f t="shared" si="38"/>
        <v>#DIV/0!</v>
      </c>
      <c r="AC151" s="397"/>
      <c r="AD151" s="1113"/>
      <c r="AE151" s="1113"/>
      <c r="AF151" s="398"/>
      <c r="AG151" s="399"/>
      <c r="AH151" s="400" t="e">
        <f t="shared" si="39"/>
        <v>#DIV/0!</v>
      </c>
      <c r="AI151" s="397"/>
    </row>
    <row r="152" spans="1:35" ht="43.15" hidden="1" customHeight="1">
      <c r="A152" s="506"/>
      <c r="B152" s="497"/>
      <c r="C152" s="497"/>
      <c r="D152" s="497"/>
      <c r="E152" s="498"/>
      <c r="F152" s="397"/>
      <c r="G152" s="403"/>
      <c r="H152" s="404"/>
      <c r="I152" s="403"/>
      <c r="J152" s="390"/>
      <c r="K152" s="390"/>
      <c r="L152" s="416"/>
      <c r="M152" s="407"/>
      <c r="N152" s="408"/>
      <c r="O152" s="406"/>
      <c r="P152" s="406"/>
      <c r="Q152" s="406"/>
      <c r="R152" s="406"/>
      <c r="S152" s="406"/>
      <c r="T152" s="406"/>
      <c r="U152" s="409"/>
      <c r="V152" s="599"/>
      <c r="W152" s="599"/>
      <c r="X152" s="599"/>
      <c r="Y152" s="599"/>
      <c r="Z152" s="401"/>
      <c r="AA152" s="399"/>
      <c r="AB152" s="400" t="e">
        <f t="shared" si="38"/>
        <v>#DIV/0!</v>
      </c>
      <c r="AC152" s="397"/>
      <c r="AD152" s="1113"/>
      <c r="AE152" s="1113"/>
      <c r="AF152" s="398"/>
      <c r="AG152" s="399"/>
      <c r="AH152" s="400" t="e">
        <f t="shared" si="39"/>
        <v>#DIV/0!</v>
      </c>
      <c r="AI152" s="397"/>
    </row>
    <row r="153" spans="1:35" ht="43.15" hidden="1" customHeight="1">
      <c r="A153" s="506"/>
      <c r="B153" s="497"/>
      <c r="C153" s="497"/>
      <c r="D153" s="497"/>
      <c r="E153" s="498"/>
      <c r="F153" s="397"/>
      <c r="G153" s="403"/>
      <c r="H153" s="404"/>
      <c r="I153" s="403"/>
      <c r="J153" s="390"/>
      <c r="K153" s="390"/>
      <c r="L153" s="416"/>
      <c r="M153" s="407"/>
      <c r="N153" s="408"/>
      <c r="O153" s="406"/>
      <c r="P153" s="406"/>
      <c r="Q153" s="406"/>
      <c r="R153" s="406"/>
      <c r="S153" s="406"/>
      <c r="T153" s="406"/>
      <c r="U153" s="409"/>
      <c r="V153" s="599"/>
      <c r="W153" s="599"/>
      <c r="X153" s="599"/>
      <c r="Y153" s="599"/>
      <c r="Z153" s="401"/>
      <c r="AA153" s="399"/>
      <c r="AB153" s="400" t="e">
        <f t="shared" si="38"/>
        <v>#DIV/0!</v>
      </c>
      <c r="AC153" s="397"/>
      <c r="AD153" s="1113"/>
      <c r="AE153" s="1113"/>
      <c r="AF153" s="398"/>
      <c r="AG153" s="399"/>
      <c r="AH153" s="400" t="e">
        <f t="shared" si="39"/>
        <v>#DIV/0!</v>
      </c>
      <c r="AI153" s="397"/>
    </row>
    <row r="154" spans="1:35" ht="43.15" hidden="1" customHeight="1">
      <c r="A154" s="506"/>
      <c r="B154" s="497"/>
      <c r="C154" s="497"/>
      <c r="D154" s="497"/>
      <c r="E154" s="498"/>
      <c r="F154" s="397"/>
      <c r="G154" s="403"/>
      <c r="H154" s="404"/>
      <c r="I154" s="403"/>
      <c r="J154" s="390"/>
      <c r="K154" s="390"/>
      <c r="L154" s="416"/>
      <c r="M154" s="407"/>
      <c r="N154" s="408"/>
      <c r="O154" s="406"/>
      <c r="P154" s="406"/>
      <c r="Q154" s="406"/>
      <c r="R154" s="406"/>
      <c r="S154" s="406"/>
      <c r="T154" s="406"/>
      <c r="U154" s="409"/>
      <c r="V154" s="599"/>
      <c r="W154" s="599"/>
      <c r="X154" s="599"/>
      <c r="Y154" s="599"/>
      <c r="Z154" s="401"/>
      <c r="AA154" s="399"/>
      <c r="AB154" s="400" t="e">
        <f t="shared" si="38"/>
        <v>#DIV/0!</v>
      </c>
      <c r="AC154" s="397"/>
      <c r="AD154" s="1113"/>
      <c r="AE154" s="1113"/>
      <c r="AF154" s="398"/>
      <c r="AG154" s="399"/>
      <c r="AH154" s="400" t="e">
        <f t="shared" si="39"/>
        <v>#DIV/0!</v>
      </c>
      <c r="AI154" s="397"/>
    </row>
    <row r="155" spans="1:35" ht="43.15" hidden="1" customHeight="1">
      <c r="A155" s="506"/>
      <c r="B155" s="497"/>
      <c r="C155" s="497"/>
      <c r="D155" s="497"/>
      <c r="E155" s="498"/>
      <c r="F155" s="397"/>
      <c r="G155" s="403"/>
      <c r="H155" s="404"/>
      <c r="I155" s="403"/>
      <c r="J155" s="390"/>
      <c r="K155" s="390"/>
      <c r="L155" s="416"/>
      <c r="M155" s="407"/>
      <c r="N155" s="408"/>
      <c r="O155" s="406"/>
      <c r="P155" s="406"/>
      <c r="Q155" s="406"/>
      <c r="R155" s="406"/>
      <c r="S155" s="406"/>
      <c r="T155" s="406"/>
      <c r="U155" s="409"/>
      <c r="V155" s="599"/>
      <c r="W155" s="599"/>
      <c r="X155" s="599"/>
      <c r="Y155" s="599"/>
      <c r="Z155" s="401"/>
      <c r="AA155" s="399"/>
      <c r="AB155" s="400" t="e">
        <f t="shared" si="38"/>
        <v>#DIV/0!</v>
      </c>
      <c r="AC155" s="397"/>
      <c r="AD155" s="1113"/>
      <c r="AE155" s="1113"/>
      <c r="AF155" s="398"/>
      <c r="AG155" s="399"/>
      <c r="AH155" s="400" t="e">
        <f t="shared" si="39"/>
        <v>#DIV/0!</v>
      </c>
      <c r="AI155" s="397"/>
    </row>
    <row r="156" spans="1:35" ht="43.15" hidden="1" customHeight="1">
      <c r="A156" s="506"/>
      <c r="B156" s="497"/>
      <c r="C156" s="497"/>
      <c r="D156" s="497"/>
      <c r="E156" s="498"/>
      <c r="F156" s="397"/>
      <c r="G156" s="403"/>
      <c r="H156" s="404"/>
      <c r="I156" s="403"/>
      <c r="J156" s="390"/>
      <c r="K156" s="390"/>
      <c r="L156" s="416"/>
      <c r="M156" s="407"/>
      <c r="N156" s="408"/>
      <c r="O156" s="406"/>
      <c r="P156" s="406"/>
      <c r="Q156" s="406"/>
      <c r="R156" s="406"/>
      <c r="S156" s="406"/>
      <c r="T156" s="406"/>
      <c r="U156" s="409"/>
      <c r="V156" s="599"/>
      <c r="W156" s="599"/>
      <c r="X156" s="599"/>
      <c r="Y156" s="599"/>
      <c r="Z156" s="401"/>
      <c r="AA156" s="399"/>
      <c r="AB156" s="400" t="e">
        <f t="shared" si="38"/>
        <v>#DIV/0!</v>
      </c>
      <c r="AC156" s="397"/>
      <c r="AD156" s="1113"/>
      <c r="AE156" s="1113"/>
      <c r="AF156" s="398"/>
      <c r="AG156" s="399"/>
      <c r="AH156" s="400" t="e">
        <f t="shared" si="39"/>
        <v>#DIV/0!</v>
      </c>
      <c r="AI156" s="397"/>
    </row>
    <row r="157" spans="1:35" ht="43.15" hidden="1" customHeight="1">
      <c r="A157" s="506"/>
      <c r="B157" s="497"/>
      <c r="C157" s="497"/>
      <c r="D157" s="497"/>
      <c r="E157" s="498"/>
      <c r="F157" s="397"/>
      <c r="G157" s="403"/>
      <c r="H157" s="404"/>
      <c r="I157" s="403"/>
      <c r="J157" s="390"/>
      <c r="K157" s="390"/>
      <c r="L157" s="416"/>
      <c r="M157" s="407"/>
      <c r="N157" s="408"/>
      <c r="O157" s="406"/>
      <c r="P157" s="406"/>
      <c r="Q157" s="406"/>
      <c r="R157" s="406"/>
      <c r="S157" s="406"/>
      <c r="T157" s="406"/>
      <c r="U157" s="409"/>
      <c r="V157" s="599"/>
      <c r="W157" s="599"/>
      <c r="X157" s="599"/>
      <c r="Y157" s="599"/>
      <c r="Z157" s="401"/>
      <c r="AA157" s="399"/>
      <c r="AB157" s="400" t="e">
        <f t="shared" si="38"/>
        <v>#DIV/0!</v>
      </c>
      <c r="AC157" s="397"/>
      <c r="AD157" s="1113"/>
      <c r="AE157" s="1113"/>
      <c r="AF157" s="398"/>
      <c r="AG157" s="399"/>
      <c r="AH157" s="400" t="e">
        <f t="shared" si="39"/>
        <v>#DIV/0!</v>
      </c>
      <c r="AI157" s="397"/>
    </row>
    <row r="158" spans="1:35" ht="43.15" hidden="1" customHeight="1">
      <c r="A158" s="506"/>
      <c r="B158" s="497"/>
      <c r="C158" s="497"/>
      <c r="D158" s="497"/>
      <c r="E158" s="498"/>
      <c r="F158" s="397"/>
      <c r="G158" s="403"/>
      <c r="H158" s="404"/>
      <c r="I158" s="403"/>
      <c r="J158" s="390"/>
      <c r="K158" s="390"/>
      <c r="L158" s="416"/>
      <c r="M158" s="407"/>
      <c r="N158" s="408"/>
      <c r="O158" s="406"/>
      <c r="P158" s="406"/>
      <c r="Q158" s="406"/>
      <c r="R158" s="406"/>
      <c r="S158" s="406"/>
      <c r="T158" s="406"/>
      <c r="U158" s="409"/>
      <c r="V158" s="599"/>
      <c r="W158" s="599"/>
      <c r="X158" s="599"/>
      <c r="Y158" s="599"/>
      <c r="Z158" s="401"/>
      <c r="AA158" s="399"/>
      <c r="AB158" s="400" t="e">
        <f t="shared" si="38"/>
        <v>#DIV/0!</v>
      </c>
      <c r="AC158" s="397"/>
      <c r="AD158" s="1113"/>
      <c r="AE158" s="1113"/>
      <c r="AF158" s="398"/>
      <c r="AG158" s="399"/>
      <c r="AH158" s="400" t="e">
        <f t="shared" si="39"/>
        <v>#DIV/0!</v>
      </c>
      <c r="AI158" s="397"/>
    </row>
    <row r="159" spans="1:35" ht="43.15" hidden="1" customHeight="1">
      <c r="A159" s="506"/>
      <c r="B159" s="497"/>
      <c r="C159" s="497"/>
      <c r="D159" s="497"/>
      <c r="E159" s="498"/>
      <c r="F159" s="397"/>
      <c r="G159" s="403"/>
      <c r="H159" s="404"/>
      <c r="I159" s="403"/>
      <c r="J159" s="390"/>
      <c r="K159" s="390"/>
      <c r="L159" s="416"/>
      <c r="M159" s="407"/>
      <c r="N159" s="408"/>
      <c r="O159" s="406"/>
      <c r="P159" s="406"/>
      <c r="Q159" s="406"/>
      <c r="R159" s="406"/>
      <c r="S159" s="406"/>
      <c r="T159" s="406"/>
      <c r="U159" s="409"/>
      <c r="V159" s="599"/>
      <c r="W159" s="599"/>
      <c r="X159" s="599"/>
      <c r="Y159" s="599"/>
      <c r="Z159" s="401"/>
      <c r="AA159" s="399"/>
      <c r="AB159" s="400" t="e">
        <f t="shared" si="38"/>
        <v>#DIV/0!</v>
      </c>
      <c r="AC159" s="397"/>
      <c r="AD159" s="1113"/>
      <c r="AE159" s="1113"/>
      <c r="AF159" s="398"/>
      <c r="AG159" s="399"/>
      <c r="AH159" s="400" t="e">
        <f t="shared" si="39"/>
        <v>#DIV/0!</v>
      </c>
      <c r="AI159" s="397"/>
    </row>
    <row r="160" spans="1:35" ht="43.15" hidden="1" customHeight="1">
      <c r="A160" s="506"/>
      <c r="B160" s="497"/>
      <c r="C160" s="497"/>
      <c r="D160" s="497"/>
      <c r="E160" s="498"/>
      <c r="F160" s="397"/>
      <c r="G160" s="403"/>
      <c r="H160" s="404"/>
      <c r="I160" s="403"/>
      <c r="J160" s="390"/>
      <c r="K160" s="390"/>
      <c r="L160" s="416"/>
      <c r="M160" s="407"/>
      <c r="N160" s="408"/>
      <c r="O160" s="406"/>
      <c r="P160" s="406"/>
      <c r="Q160" s="406"/>
      <c r="R160" s="406"/>
      <c r="S160" s="406"/>
      <c r="T160" s="406"/>
      <c r="U160" s="409"/>
      <c r="V160" s="599"/>
      <c r="W160" s="599"/>
      <c r="X160" s="599"/>
      <c r="Y160" s="599"/>
      <c r="Z160" s="401"/>
      <c r="AA160" s="399"/>
      <c r="AB160" s="400" t="e">
        <f t="shared" si="38"/>
        <v>#DIV/0!</v>
      </c>
      <c r="AC160" s="397"/>
      <c r="AD160" s="1113"/>
      <c r="AE160" s="1113"/>
      <c r="AF160" s="398"/>
      <c r="AG160" s="399"/>
      <c r="AH160" s="400" t="e">
        <f t="shared" si="39"/>
        <v>#DIV/0!</v>
      </c>
      <c r="AI160" s="397"/>
    </row>
    <row r="161" spans="1:35" ht="43.15" hidden="1" customHeight="1">
      <c r="A161" s="506"/>
      <c r="B161" s="497"/>
      <c r="C161" s="497"/>
      <c r="D161" s="497"/>
      <c r="E161" s="498"/>
      <c r="F161" s="397"/>
      <c r="G161" s="403"/>
      <c r="H161" s="404"/>
      <c r="I161" s="403"/>
      <c r="J161" s="390"/>
      <c r="K161" s="390"/>
      <c r="L161" s="416"/>
      <c r="M161" s="407"/>
      <c r="N161" s="408"/>
      <c r="O161" s="406"/>
      <c r="P161" s="406"/>
      <c r="Q161" s="406"/>
      <c r="R161" s="406"/>
      <c r="S161" s="406"/>
      <c r="T161" s="406"/>
      <c r="U161" s="409"/>
      <c r="V161" s="599"/>
      <c r="W161" s="599"/>
      <c r="X161" s="599"/>
      <c r="Y161" s="599"/>
      <c r="Z161" s="401"/>
      <c r="AA161" s="399"/>
      <c r="AB161" s="400" t="e">
        <f t="shared" si="38"/>
        <v>#DIV/0!</v>
      </c>
      <c r="AC161" s="397"/>
      <c r="AD161" s="1113"/>
      <c r="AE161" s="1113"/>
      <c r="AF161" s="398"/>
      <c r="AG161" s="399"/>
      <c r="AH161" s="400" t="e">
        <f t="shared" si="39"/>
        <v>#DIV/0!</v>
      </c>
      <c r="AI161" s="397"/>
    </row>
    <row r="162" spans="1:35" ht="43.15" hidden="1" customHeight="1">
      <c r="A162" s="506"/>
      <c r="B162" s="497"/>
      <c r="C162" s="497"/>
      <c r="D162" s="497"/>
      <c r="E162" s="498"/>
      <c r="F162" s="397"/>
      <c r="G162" s="403"/>
      <c r="H162" s="404"/>
      <c r="I162" s="403"/>
      <c r="J162" s="390"/>
      <c r="K162" s="390"/>
      <c r="L162" s="416"/>
      <c r="M162" s="407"/>
      <c r="N162" s="408"/>
      <c r="O162" s="406"/>
      <c r="P162" s="406"/>
      <c r="Q162" s="406"/>
      <c r="R162" s="406"/>
      <c r="S162" s="406"/>
      <c r="T162" s="406"/>
      <c r="U162" s="409"/>
      <c r="V162" s="599"/>
      <c r="W162" s="599"/>
      <c r="X162" s="599"/>
      <c r="Y162" s="599"/>
      <c r="Z162" s="401"/>
      <c r="AA162" s="399"/>
      <c r="AB162" s="400" t="e">
        <f t="shared" si="38"/>
        <v>#DIV/0!</v>
      </c>
      <c r="AC162" s="397"/>
      <c r="AD162" s="1113"/>
      <c r="AE162" s="1113"/>
      <c r="AF162" s="398"/>
      <c r="AG162" s="399"/>
      <c r="AH162" s="400" t="e">
        <f t="shared" si="39"/>
        <v>#DIV/0!</v>
      </c>
      <c r="AI162" s="397"/>
    </row>
    <row r="163" spans="1:35" ht="43.15" hidden="1" customHeight="1">
      <c r="A163" s="506"/>
      <c r="B163" s="497"/>
      <c r="C163" s="497"/>
      <c r="D163" s="497"/>
      <c r="E163" s="498"/>
      <c r="F163" s="397"/>
      <c r="G163" s="403"/>
      <c r="H163" s="404"/>
      <c r="I163" s="403"/>
      <c r="J163" s="390"/>
      <c r="K163" s="390"/>
      <c r="L163" s="416"/>
      <c r="M163" s="407"/>
      <c r="N163" s="408"/>
      <c r="O163" s="406"/>
      <c r="P163" s="406"/>
      <c r="Q163" s="406"/>
      <c r="R163" s="406"/>
      <c r="S163" s="406"/>
      <c r="T163" s="406"/>
      <c r="U163" s="409"/>
      <c r="V163" s="599"/>
      <c r="W163" s="599"/>
      <c r="X163" s="599"/>
      <c r="Y163" s="599"/>
      <c r="Z163" s="401"/>
      <c r="AA163" s="399"/>
      <c r="AB163" s="400" t="e">
        <f t="shared" si="38"/>
        <v>#DIV/0!</v>
      </c>
      <c r="AC163" s="397"/>
      <c r="AD163" s="1113"/>
      <c r="AE163" s="1113"/>
      <c r="AF163" s="398"/>
      <c r="AG163" s="399"/>
      <c r="AH163" s="400" t="e">
        <f t="shared" si="39"/>
        <v>#DIV/0!</v>
      </c>
      <c r="AI163" s="397"/>
    </row>
    <row r="164" spans="1:35" ht="43.15" hidden="1" customHeight="1">
      <c r="A164" s="506"/>
      <c r="B164" s="497"/>
      <c r="C164" s="497"/>
      <c r="D164" s="497"/>
      <c r="E164" s="498"/>
      <c r="F164" s="397"/>
      <c r="G164" s="403"/>
      <c r="H164" s="404"/>
      <c r="I164" s="403"/>
      <c r="J164" s="390"/>
      <c r="K164" s="390"/>
      <c r="L164" s="416"/>
      <c r="M164" s="407"/>
      <c r="N164" s="408"/>
      <c r="O164" s="406"/>
      <c r="P164" s="406"/>
      <c r="Q164" s="406"/>
      <c r="R164" s="406"/>
      <c r="S164" s="406"/>
      <c r="T164" s="406"/>
      <c r="U164" s="409"/>
      <c r="V164" s="599"/>
      <c r="W164" s="599"/>
      <c r="X164" s="599"/>
      <c r="Y164" s="599"/>
      <c r="Z164" s="401"/>
      <c r="AA164" s="399"/>
      <c r="AB164" s="400" t="e">
        <f t="shared" si="38"/>
        <v>#DIV/0!</v>
      </c>
      <c r="AC164" s="397"/>
      <c r="AD164" s="1113"/>
      <c r="AE164" s="1113"/>
      <c r="AF164" s="398"/>
      <c r="AG164" s="399"/>
      <c r="AH164" s="400" t="e">
        <f t="shared" si="39"/>
        <v>#DIV/0!</v>
      </c>
      <c r="AI164" s="397"/>
    </row>
    <row r="165" spans="1:35" ht="43.15" hidden="1" customHeight="1">
      <c r="A165" s="506"/>
      <c r="B165" s="497"/>
      <c r="C165" s="497"/>
      <c r="D165" s="497"/>
      <c r="E165" s="498"/>
      <c r="F165" s="397"/>
      <c r="G165" s="403"/>
      <c r="H165" s="404"/>
      <c r="I165" s="403"/>
      <c r="J165" s="390"/>
      <c r="K165" s="390"/>
      <c r="L165" s="416"/>
      <c r="M165" s="407"/>
      <c r="N165" s="408"/>
      <c r="O165" s="406"/>
      <c r="P165" s="406"/>
      <c r="Q165" s="406"/>
      <c r="R165" s="406"/>
      <c r="S165" s="406"/>
      <c r="T165" s="406"/>
      <c r="U165" s="409"/>
      <c r="V165" s="599"/>
      <c r="W165" s="599"/>
      <c r="X165" s="599"/>
      <c r="Y165" s="599"/>
      <c r="Z165" s="401"/>
      <c r="AA165" s="399"/>
      <c r="AB165" s="400" t="e">
        <f t="shared" si="38"/>
        <v>#DIV/0!</v>
      </c>
      <c r="AC165" s="397"/>
      <c r="AD165" s="1113"/>
      <c r="AE165" s="1113"/>
      <c r="AF165" s="398"/>
      <c r="AG165" s="399"/>
      <c r="AH165" s="400" t="e">
        <f t="shared" si="39"/>
        <v>#DIV/0!</v>
      </c>
      <c r="AI165" s="397"/>
    </row>
    <row r="166" spans="1:35" ht="43.15" hidden="1" customHeight="1">
      <c r="A166" s="506"/>
      <c r="B166" s="497"/>
      <c r="C166" s="497"/>
      <c r="D166" s="497"/>
      <c r="E166" s="498"/>
      <c r="F166" s="397"/>
      <c r="G166" s="403"/>
      <c r="H166" s="404"/>
      <c r="I166" s="403"/>
      <c r="J166" s="390"/>
      <c r="K166" s="390"/>
      <c r="L166" s="416"/>
      <c r="M166" s="407"/>
      <c r="N166" s="408"/>
      <c r="O166" s="406"/>
      <c r="P166" s="406"/>
      <c r="Q166" s="406"/>
      <c r="R166" s="406"/>
      <c r="S166" s="406"/>
      <c r="T166" s="406"/>
      <c r="U166" s="409"/>
      <c r="V166" s="599"/>
      <c r="W166" s="599"/>
      <c r="X166" s="599"/>
      <c r="Y166" s="599"/>
      <c r="Z166" s="401"/>
      <c r="AA166" s="399"/>
      <c r="AB166" s="400" t="e">
        <f t="shared" si="38"/>
        <v>#DIV/0!</v>
      </c>
      <c r="AC166" s="397"/>
      <c r="AD166" s="1113"/>
      <c r="AE166" s="1113"/>
      <c r="AF166" s="398"/>
      <c r="AG166" s="399"/>
      <c r="AH166" s="400" t="e">
        <f t="shared" si="39"/>
        <v>#DIV/0!</v>
      </c>
      <c r="AI166" s="397"/>
    </row>
    <row r="167" spans="1:35" ht="19.899999999999999" hidden="1" customHeight="1">
      <c r="A167" s="506"/>
      <c r="B167" s="497"/>
      <c r="C167" s="497"/>
      <c r="D167" s="497"/>
      <c r="E167" s="498"/>
      <c r="F167" s="397"/>
      <c r="G167" s="403"/>
      <c r="H167" s="404"/>
      <c r="I167" s="403"/>
      <c r="J167" s="390"/>
      <c r="K167" s="390"/>
      <c r="L167" s="416"/>
      <c r="M167" s="407"/>
      <c r="N167" s="408"/>
      <c r="O167" s="406"/>
      <c r="P167" s="406"/>
      <c r="Q167" s="406"/>
      <c r="R167" s="406"/>
      <c r="S167" s="406"/>
      <c r="T167" s="406"/>
      <c r="U167" s="409"/>
      <c r="V167" s="599"/>
      <c r="W167" s="599"/>
      <c r="X167" s="599"/>
      <c r="Y167" s="599"/>
      <c r="Z167" s="401"/>
      <c r="AA167" s="399"/>
      <c r="AB167" s="400" t="e">
        <f t="shared" si="38"/>
        <v>#DIV/0!</v>
      </c>
      <c r="AC167" s="397"/>
      <c r="AD167" s="1113"/>
      <c r="AE167" s="1113"/>
      <c r="AF167" s="398"/>
      <c r="AG167" s="399"/>
      <c r="AH167" s="400" t="e">
        <f t="shared" si="39"/>
        <v>#DIV/0!</v>
      </c>
      <c r="AI167" s="397"/>
    </row>
    <row r="168" spans="1:35" ht="19.899999999999999" hidden="1" customHeight="1">
      <c r="A168" s="506"/>
      <c r="B168" s="497"/>
      <c r="C168" s="497"/>
      <c r="D168" s="497"/>
      <c r="E168" s="498"/>
      <c r="F168" s="397"/>
      <c r="G168" s="403"/>
      <c r="H168" s="404"/>
      <c r="I168" s="403"/>
      <c r="J168" s="390"/>
      <c r="K168" s="390"/>
      <c r="L168" s="416"/>
      <c r="M168" s="407"/>
      <c r="N168" s="408"/>
      <c r="O168" s="406"/>
      <c r="P168" s="406"/>
      <c r="Q168" s="406"/>
      <c r="R168" s="406"/>
      <c r="S168" s="406"/>
      <c r="T168" s="406"/>
      <c r="U168" s="409"/>
      <c r="V168" s="599"/>
      <c r="W168" s="599"/>
      <c r="X168" s="599"/>
      <c r="Y168" s="599"/>
      <c r="Z168" s="401"/>
      <c r="AA168" s="399"/>
      <c r="AB168" s="400" t="e">
        <f t="shared" si="38"/>
        <v>#DIV/0!</v>
      </c>
      <c r="AC168" s="397"/>
      <c r="AD168" s="1113"/>
      <c r="AE168" s="1113"/>
      <c r="AF168" s="398"/>
      <c r="AG168" s="399"/>
      <c r="AH168" s="400" t="e">
        <f t="shared" si="39"/>
        <v>#DIV/0!</v>
      </c>
      <c r="AI168" s="397"/>
    </row>
    <row r="169" spans="1:35" ht="19.899999999999999" hidden="1" customHeight="1">
      <c r="A169" s="506"/>
      <c r="B169" s="497"/>
      <c r="C169" s="497"/>
      <c r="D169" s="497"/>
      <c r="E169" s="498"/>
      <c r="F169" s="397"/>
      <c r="G169" s="403"/>
      <c r="H169" s="404"/>
      <c r="I169" s="403"/>
      <c r="J169" s="390"/>
      <c r="K169" s="390"/>
      <c r="L169" s="416"/>
      <c r="M169" s="407"/>
      <c r="N169" s="408"/>
      <c r="O169" s="406"/>
      <c r="P169" s="406"/>
      <c r="Q169" s="406"/>
      <c r="R169" s="406"/>
      <c r="S169" s="406"/>
      <c r="T169" s="406"/>
      <c r="U169" s="409"/>
      <c r="V169" s="599"/>
      <c r="W169" s="599"/>
      <c r="X169" s="599"/>
      <c r="Y169" s="599"/>
      <c r="Z169" s="401"/>
      <c r="AA169" s="399"/>
      <c r="AB169" s="400" t="e">
        <f t="shared" si="38"/>
        <v>#DIV/0!</v>
      </c>
      <c r="AC169" s="397"/>
      <c r="AD169" s="1113"/>
      <c r="AE169" s="1113"/>
      <c r="AF169" s="398"/>
      <c r="AG169" s="399"/>
      <c r="AH169" s="400" t="e">
        <f t="shared" si="39"/>
        <v>#DIV/0!</v>
      </c>
      <c r="AI169" s="397"/>
    </row>
    <row r="170" spans="1:35" ht="19.899999999999999" hidden="1" customHeight="1">
      <c r="A170" s="506"/>
      <c r="B170" s="497"/>
      <c r="C170" s="497"/>
      <c r="D170" s="497"/>
      <c r="E170" s="498"/>
      <c r="F170" s="397"/>
      <c r="G170" s="403"/>
      <c r="H170" s="404"/>
      <c r="I170" s="403"/>
      <c r="J170" s="390"/>
      <c r="K170" s="390"/>
      <c r="L170" s="416"/>
      <c r="M170" s="407"/>
      <c r="N170" s="408"/>
      <c r="O170" s="406"/>
      <c r="P170" s="406"/>
      <c r="Q170" s="406"/>
      <c r="R170" s="406"/>
      <c r="S170" s="406"/>
      <c r="T170" s="406"/>
      <c r="U170" s="409"/>
      <c r="V170" s="599"/>
      <c r="W170" s="599"/>
      <c r="X170" s="599"/>
      <c r="Y170" s="599"/>
      <c r="Z170" s="401"/>
      <c r="AA170" s="399"/>
      <c r="AB170" s="400" t="e">
        <f t="shared" si="38"/>
        <v>#DIV/0!</v>
      </c>
      <c r="AC170" s="397"/>
      <c r="AD170" s="1113"/>
      <c r="AE170" s="1113"/>
      <c r="AF170" s="398"/>
      <c r="AG170" s="399"/>
      <c r="AH170" s="400" t="e">
        <f t="shared" si="39"/>
        <v>#DIV/0!</v>
      </c>
      <c r="AI170" s="397"/>
    </row>
    <row r="171" spans="1:35" ht="19.899999999999999" hidden="1" customHeight="1">
      <c r="A171" s="506"/>
      <c r="B171" s="497"/>
      <c r="C171" s="497"/>
      <c r="D171" s="497"/>
      <c r="E171" s="498"/>
      <c r="F171" s="397"/>
      <c r="G171" s="403"/>
      <c r="H171" s="404"/>
      <c r="I171" s="403"/>
      <c r="J171" s="390"/>
      <c r="K171" s="390"/>
      <c r="L171" s="416"/>
      <c r="M171" s="407"/>
      <c r="N171" s="408"/>
      <c r="O171" s="406"/>
      <c r="P171" s="406"/>
      <c r="Q171" s="406"/>
      <c r="R171" s="406"/>
      <c r="S171" s="406"/>
      <c r="T171" s="406"/>
      <c r="U171" s="409"/>
      <c r="V171" s="599"/>
      <c r="W171" s="599"/>
      <c r="X171" s="599"/>
      <c r="Y171" s="599"/>
      <c r="Z171" s="401"/>
      <c r="AA171" s="399"/>
      <c r="AB171" s="400" t="e">
        <f t="shared" si="38"/>
        <v>#DIV/0!</v>
      </c>
      <c r="AC171" s="397"/>
      <c r="AD171" s="1113"/>
      <c r="AE171" s="1113"/>
      <c r="AF171" s="398"/>
      <c r="AG171" s="399"/>
      <c r="AH171" s="400" t="e">
        <f t="shared" si="39"/>
        <v>#DIV/0!</v>
      </c>
      <c r="AI171" s="397"/>
    </row>
    <row r="172" spans="1:35" ht="19.899999999999999" hidden="1" customHeight="1">
      <c r="A172" s="506"/>
      <c r="B172" s="497"/>
      <c r="C172" s="497"/>
      <c r="D172" s="497"/>
      <c r="E172" s="498"/>
      <c r="F172" s="397"/>
      <c r="G172" s="403"/>
      <c r="H172" s="404"/>
      <c r="I172" s="403"/>
      <c r="J172" s="390"/>
      <c r="K172" s="390"/>
      <c r="L172" s="416"/>
      <c r="M172" s="407"/>
      <c r="N172" s="408"/>
      <c r="O172" s="406"/>
      <c r="P172" s="406"/>
      <c r="Q172" s="406"/>
      <c r="R172" s="406"/>
      <c r="S172" s="406"/>
      <c r="T172" s="406"/>
      <c r="U172" s="409"/>
      <c r="V172" s="599"/>
      <c r="W172" s="599"/>
      <c r="X172" s="599"/>
      <c r="Y172" s="599"/>
      <c r="Z172" s="401"/>
      <c r="AA172" s="399"/>
      <c r="AB172" s="400" t="e">
        <f t="shared" si="38"/>
        <v>#DIV/0!</v>
      </c>
      <c r="AC172" s="397"/>
      <c r="AD172" s="1113"/>
      <c r="AE172" s="1113"/>
      <c r="AF172" s="398"/>
      <c r="AG172" s="399"/>
      <c r="AH172" s="400" t="e">
        <f t="shared" si="39"/>
        <v>#DIV/0!</v>
      </c>
      <c r="AI172" s="397"/>
    </row>
    <row r="173" spans="1:35" ht="19.899999999999999" hidden="1" customHeight="1">
      <c r="A173" s="506"/>
      <c r="B173" s="497"/>
      <c r="C173" s="497"/>
      <c r="D173" s="497"/>
      <c r="E173" s="498"/>
      <c r="F173" s="397"/>
      <c r="G173" s="403"/>
      <c r="H173" s="404"/>
      <c r="I173" s="403"/>
      <c r="J173" s="390"/>
      <c r="K173" s="390"/>
      <c r="L173" s="416"/>
      <c r="M173" s="407"/>
      <c r="N173" s="408"/>
      <c r="O173" s="406"/>
      <c r="P173" s="406"/>
      <c r="Q173" s="406"/>
      <c r="R173" s="406"/>
      <c r="S173" s="406"/>
      <c r="T173" s="406"/>
      <c r="U173" s="409"/>
      <c r="V173" s="599"/>
      <c r="W173" s="599"/>
      <c r="X173" s="599"/>
      <c r="Y173" s="599"/>
      <c r="Z173" s="401"/>
      <c r="AA173" s="399"/>
      <c r="AB173" s="400" t="e">
        <f t="shared" si="38"/>
        <v>#DIV/0!</v>
      </c>
      <c r="AC173" s="397"/>
      <c r="AD173" s="1113"/>
      <c r="AE173" s="1113"/>
      <c r="AF173" s="398"/>
      <c r="AG173" s="399"/>
      <c r="AH173" s="400" t="e">
        <f t="shared" si="39"/>
        <v>#DIV/0!</v>
      </c>
      <c r="AI173" s="397"/>
    </row>
    <row r="174" spans="1:35" ht="19.899999999999999" hidden="1" customHeight="1">
      <c r="A174" s="506"/>
      <c r="B174" s="497"/>
      <c r="C174" s="497"/>
      <c r="D174" s="497"/>
      <c r="E174" s="498"/>
      <c r="F174" s="397"/>
      <c r="G174" s="403"/>
      <c r="H174" s="404"/>
      <c r="I174" s="403"/>
      <c r="J174" s="390"/>
      <c r="K174" s="390"/>
      <c r="L174" s="416"/>
      <c r="M174" s="407"/>
      <c r="N174" s="408"/>
      <c r="O174" s="406"/>
      <c r="P174" s="406"/>
      <c r="Q174" s="406"/>
      <c r="R174" s="406"/>
      <c r="S174" s="406"/>
      <c r="T174" s="406"/>
      <c r="U174" s="409"/>
      <c r="V174" s="599"/>
      <c r="W174" s="599"/>
      <c r="X174" s="599"/>
      <c r="Y174" s="599"/>
      <c r="Z174" s="401"/>
      <c r="AA174" s="399"/>
      <c r="AB174" s="400" t="e">
        <f t="shared" si="38"/>
        <v>#DIV/0!</v>
      </c>
      <c r="AC174" s="397"/>
      <c r="AD174" s="1113"/>
      <c r="AE174" s="1113"/>
      <c r="AF174" s="398"/>
      <c r="AG174" s="399"/>
      <c r="AH174" s="400" t="e">
        <f t="shared" si="39"/>
        <v>#DIV/0!</v>
      </c>
      <c r="AI174" s="397"/>
    </row>
    <row r="175" spans="1:35" ht="19.899999999999999" hidden="1" customHeight="1">
      <c r="A175" s="506"/>
      <c r="B175" s="497"/>
      <c r="C175" s="497"/>
      <c r="D175" s="497"/>
      <c r="E175" s="498"/>
      <c r="F175" s="397"/>
      <c r="G175" s="403"/>
      <c r="H175" s="404"/>
      <c r="I175" s="403"/>
      <c r="J175" s="390"/>
      <c r="K175" s="390"/>
      <c r="L175" s="416"/>
      <c r="M175" s="407"/>
      <c r="N175" s="408"/>
      <c r="O175" s="406"/>
      <c r="P175" s="406"/>
      <c r="Q175" s="406"/>
      <c r="R175" s="406"/>
      <c r="S175" s="406"/>
      <c r="T175" s="406"/>
      <c r="U175" s="409"/>
      <c r="V175" s="599"/>
      <c r="W175" s="599"/>
      <c r="X175" s="599"/>
      <c r="Y175" s="599"/>
      <c r="Z175" s="401"/>
      <c r="AA175" s="399"/>
      <c r="AB175" s="400" t="e">
        <f t="shared" si="38"/>
        <v>#DIV/0!</v>
      </c>
      <c r="AC175" s="397"/>
      <c r="AD175" s="1113"/>
      <c r="AE175" s="1113"/>
      <c r="AF175" s="398"/>
      <c r="AG175" s="399"/>
      <c r="AH175" s="400" t="e">
        <f t="shared" si="39"/>
        <v>#DIV/0!</v>
      </c>
      <c r="AI175" s="397"/>
    </row>
    <row r="176" spans="1:35" ht="19.899999999999999" hidden="1" customHeight="1">
      <c r="A176" s="506"/>
      <c r="B176" s="497"/>
      <c r="C176" s="497"/>
      <c r="D176" s="497"/>
      <c r="E176" s="498"/>
      <c r="F176" s="397"/>
      <c r="G176" s="403"/>
      <c r="H176" s="404"/>
      <c r="I176" s="403"/>
      <c r="J176" s="390"/>
      <c r="K176" s="390"/>
      <c r="L176" s="416"/>
      <c r="M176" s="407"/>
      <c r="N176" s="408"/>
      <c r="O176" s="406"/>
      <c r="P176" s="406"/>
      <c r="Q176" s="406"/>
      <c r="R176" s="406"/>
      <c r="S176" s="406"/>
      <c r="T176" s="406"/>
      <c r="U176" s="409"/>
      <c r="V176" s="599"/>
      <c r="W176" s="599"/>
      <c r="X176" s="599"/>
      <c r="Y176" s="599"/>
      <c r="Z176" s="401"/>
      <c r="AA176" s="399"/>
      <c r="AB176" s="400" t="e">
        <f t="shared" si="38"/>
        <v>#DIV/0!</v>
      </c>
      <c r="AC176" s="397"/>
      <c r="AD176" s="1113"/>
      <c r="AE176" s="1113"/>
      <c r="AF176" s="398"/>
      <c r="AG176" s="399"/>
      <c r="AH176" s="400" t="e">
        <f t="shared" si="39"/>
        <v>#DIV/0!</v>
      </c>
      <c r="AI176" s="397"/>
    </row>
    <row r="177" spans="1:35" ht="19.899999999999999" hidden="1" customHeight="1">
      <c r="A177" s="506"/>
      <c r="B177" s="497"/>
      <c r="C177" s="497"/>
      <c r="D177" s="497"/>
      <c r="E177" s="498"/>
      <c r="F177" s="397"/>
      <c r="G177" s="403"/>
      <c r="H177" s="404"/>
      <c r="I177" s="403"/>
      <c r="J177" s="390"/>
      <c r="K177" s="390"/>
      <c r="L177" s="416"/>
      <c r="M177" s="407"/>
      <c r="N177" s="408"/>
      <c r="O177" s="406"/>
      <c r="P177" s="406"/>
      <c r="Q177" s="406"/>
      <c r="R177" s="406"/>
      <c r="S177" s="406"/>
      <c r="T177" s="406"/>
      <c r="U177" s="409"/>
      <c r="V177" s="599"/>
      <c r="W177" s="599"/>
      <c r="X177" s="599"/>
      <c r="Y177" s="599"/>
      <c r="Z177" s="401"/>
      <c r="AA177" s="399"/>
      <c r="AB177" s="400" t="e">
        <f t="shared" si="38"/>
        <v>#DIV/0!</v>
      </c>
      <c r="AC177" s="397"/>
      <c r="AD177" s="1113"/>
      <c r="AE177" s="1113"/>
      <c r="AF177" s="398"/>
      <c r="AG177" s="399"/>
      <c r="AH177" s="400" t="e">
        <f t="shared" si="39"/>
        <v>#DIV/0!</v>
      </c>
      <c r="AI177" s="397"/>
    </row>
    <row r="178" spans="1:35" ht="19.899999999999999" hidden="1" customHeight="1">
      <c r="A178" s="506"/>
      <c r="B178" s="497"/>
      <c r="C178" s="497"/>
      <c r="D178" s="497"/>
      <c r="E178" s="498"/>
      <c r="F178" s="397"/>
      <c r="G178" s="403"/>
      <c r="H178" s="404"/>
      <c r="I178" s="403"/>
      <c r="J178" s="390"/>
      <c r="K178" s="390"/>
      <c r="L178" s="416"/>
      <c r="M178" s="407"/>
      <c r="N178" s="408"/>
      <c r="O178" s="406"/>
      <c r="P178" s="406"/>
      <c r="Q178" s="406"/>
      <c r="R178" s="406"/>
      <c r="S178" s="406"/>
      <c r="T178" s="406"/>
      <c r="U178" s="409"/>
      <c r="V178" s="599"/>
      <c r="W178" s="599"/>
      <c r="X178" s="599"/>
      <c r="Y178" s="599"/>
      <c r="Z178" s="401"/>
      <c r="AA178" s="399"/>
      <c r="AB178" s="400" t="e">
        <f t="shared" si="38"/>
        <v>#DIV/0!</v>
      </c>
      <c r="AC178" s="397"/>
      <c r="AD178" s="1113"/>
      <c r="AE178" s="1113"/>
      <c r="AF178" s="398"/>
      <c r="AG178" s="399"/>
      <c r="AH178" s="400" t="e">
        <f t="shared" si="39"/>
        <v>#DIV/0!</v>
      </c>
      <c r="AI178" s="397"/>
    </row>
    <row r="179" spans="1:35" ht="19.899999999999999" hidden="1" customHeight="1">
      <c r="A179" s="506"/>
      <c r="B179" s="497"/>
      <c r="C179" s="497"/>
      <c r="D179" s="497"/>
      <c r="E179" s="498"/>
      <c r="F179" s="397"/>
      <c r="G179" s="403"/>
      <c r="H179" s="404"/>
      <c r="I179" s="403"/>
      <c r="J179" s="390"/>
      <c r="K179" s="390"/>
      <c r="L179" s="416"/>
      <c r="M179" s="407"/>
      <c r="N179" s="408"/>
      <c r="O179" s="406"/>
      <c r="P179" s="406"/>
      <c r="Q179" s="406"/>
      <c r="R179" s="406"/>
      <c r="S179" s="406"/>
      <c r="T179" s="406"/>
      <c r="U179" s="409"/>
      <c r="V179" s="599"/>
      <c r="W179" s="599"/>
      <c r="X179" s="599"/>
      <c r="Y179" s="599"/>
      <c r="Z179" s="401"/>
      <c r="AA179" s="399"/>
      <c r="AB179" s="400" t="e">
        <f t="shared" si="38"/>
        <v>#DIV/0!</v>
      </c>
      <c r="AC179" s="397"/>
      <c r="AD179" s="1113"/>
      <c r="AE179" s="1113"/>
      <c r="AF179" s="398"/>
      <c r="AG179" s="399"/>
      <c r="AH179" s="400" t="e">
        <f t="shared" si="39"/>
        <v>#DIV/0!</v>
      </c>
      <c r="AI179" s="397"/>
    </row>
    <row r="180" spans="1:35" ht="19.899999999999999" hidden="1" customHeight="1">
      <c r="A180" s="506"/>
      <c r="B180" s="497"/>
      <c r="C180" s="497"/>
      <c r="D180" s="497"/>
      <c r="E180" s="498"/>
      <c r="F180" s="397"/>
      <c r="G180" s="403"/>
      <c r="H180" s="404"/>
      <c r="I180" s="403"/>
      <c r="J180" s="390"/>
      <c r="K180" s="390"/>
      <c r="L180" s="416"/>
      <c r="M180" s="407"/>
      <c r="N180" s="408"/>
      <c r="O180" s="406"/>
      <c r="P180" s="406"/>
      <c r="Q180" s="406"/>
      <c r="R180" s="406"/>
      <c r="S180" s="406"/>
      <c r="T180" s="406"/>
      <c r="U180" s="409"/>
      <c r="V180" s="599"/>
      <c r="W180" s="599"/>
      <c r="X180" s="599"/>
      <c r="Y180" s="599"/>
      <c r="Z180" s="401"/>
      <c r="AA180" s="399"/>
      <c r="AB180" s="400" t="e">
        <f t="shared" si="38"/>
        <v>#DIV/0!</v>
      </c>
      <c r="AC180" s="397"/>
      <c r="AD180" s="1113"/>
      <c r="AE180" s="1113"/>
      <c r="AF180" s="398"/>
      <c r="AG180" s="399"/>
      <c r="AH180" s="400" t="e">
        <f t="shared" si="39"/>
        <v>#DIV/0!</v>
      </c>
      <c r="AI180" s="397"/>
    </row>
    <row r="181" spans="1:35" ht="19.899999999999999" hidden="1" customHeight="1">
      <c r="A181" s="506"/>
      <c r="B181" s="497"/>
      <c r="C181" s="497"/>
      <c r="D181" s="497"/>
      <c r="E181" s="498"/>
      <c r="F181" s="397"/>
      <c r="G181" s="403"/>
      <c r="H181" s="404"/>
      <c r="I181" s="403"/>
      <c r="J181" s="390"/>
      <c r="K181" s="390"/>
      <c r="L181" s="416"/>
      <c r="M181" s="407"/>
      <c r="N181" s="408"/>
      <c r="O181" s="406"/>
      <c r="P181" s="406"/>
      <c r="Q181" s="406"/>
      <c r="R181" s="406"/>
      <c r="S181" s="406"/>
      <c r="T181" s="406"/>
      <c r="U181" s="409"/>
      <c r="V181" s="599"/>
      <c r="W181" s="599"/>
      <c r="X181" s="599"/>
      <c r="Y181" s="599"/>
      <c r="Z181" s="401"/>
      <c r="AA181" s="399"/>
      <c r="AB181" s="400" t="e">
        <f t="shared" si="38"/>
        <v>#DIV/0!</v>
      </c>
      <c r="AC181" s="397"/>
      <c r="AD181" s="1113"/>
      <c r="AE181" s="1113"/>
      <c r="AF181" s="398"/>
      <c r="AG181" s="399"/>
      <c r="AH181" s="400" t="e">
        <f t="shared" si="39"/>
        <v>#DIV/0!</v>
      </c>
      <c r="AI181" s="397"/>
    </row>
    <row r="182" spans="1:35" ht="19.899999999999999" hidden="1" customHeight="1">
      <c r="A182" s="506"/>
      <c r="B182" s="497"/>
      <c r="C182" s="497"/>
      <c r="D182" s="497"/>
      <c r="E182" s="498"/>
      <c r="F182" s="397"/>
      <c r="G182" s="403"/>
      <c r="H182" s="404"/>
      <c r="I182" s="403"/>
      <c r="J182" s="390"/>
      <c r="K182" s="390"/>
      <c r="L182" s="416"/>
      <c r="M182" s="407"/>
      <c r="N182" s="408"/>
      <c r="O182" s="406"/>
      <c r="P182" s="406"/>
      <c r="Q182" s="406"/>
      <c r="R182" s="406"/>
      <c r="S182" s="406"/>
      <c r="T182" s="406"/>
      <c r="U182" s="409"/>
      <c r="V182" s="599"/>
      <c r="W182" s="599"/>
      <c r="X182" s="599"/>
      <c r="Y182" s="599"/>
      <c r="Z182" s="401"/>
      <c r="AA182" s="399"/>
      <c r="AB182" s="400" t="e">
        <f t="shared" si="38"/>
        <v>#DIV/0!</v>
      </c>
      <c r="AC182" s="397"/>
      <c r="AD182" s="1113"/>
      <c r="AE182" s="1113"/>
      <c r="AF182" s="398"/>
      <c r="AG182" s="399"/>
      <c r="AH182" s="400" t="e">
        <f t="shared" si="39"/>
        <v>#DIV/0!</v>
      </c>
      <c r="AI182" s="397"/>
    </row>
    <row r="183" spans="1:35" ht="19.899999999999999" hidden="1" customHeight="1">
      <c r="A183" s="506"/>
      <c r="B183" s="497"/>
      <c r="C183" s="497"/>
      <c r="D183" s="497"/>
      <c r="E183" s="498"/>
      <c r="F183" s="397"/>
      <c r="G183" s="403"/>
      <c r="H183" s="404"/>
      <c r="I183" s="403"/>
      <c r="J183" s="390"/>
      <c r="K183" s="390"/>
      <c r="L183" s="416"/>
      <c r="M183" s="407"/>
      <c r="N183" s="408"/>
      <c r="O183" s="406"/>
      <c r="P183" s="406"/>
      <c r="Q183" s="406"/>
      <c r="R183" s="406"/>
      <c r="S183" s="406"/>
      <c r="T183" s="406"/>
      <c r="U183" s="409"/>
      <c r="V183" s="599"/>
      <c r="W183" s="599"/>
      <c r="X183" s="599"/>
      <c r="Y183" s="599"/>
      <c r="Z183" s="401"/>
      <c r="AA183" s="399"/>
      <c r="AB183" s="400" t="e">
        <f t="shared" si="38"/>
        <v>#DIV/0!</v>
      </c>
      <c r="AC183" s="397"/>
      <c r="AD183" s="1113"/>
      <c r="AE183" s="1113"/>
      <c r="AF183" s="398"/>
      <c r="AG183" s="399"/>
      <c r="AH183" s="400" t="e">
        <f t="shared" si="39"/>
        <v>#DIV/0!</v>
      </c>
      <c r="AI183" s="397"/>
    </row>
    <row r="184" spans="1:35" ht="19.899999999999999" hidden="1" customHeight="1">
      <c r="A184" s="506"/>
      <c r="B184" s="497"/>
      <c r="C184" s="497"/>
      <c r="D184" s="497"/>
      <c r="E184" s="498"/>
      <c r="F184" s="397"/>
      <c r="G184" s="403"/>
      <c r="H184" s="404"/>
      <c r="I184" s="403"/>
      <c r="J184" s="390"/>
      <c r="K184" s="390"/>
      <c r="L184" s="416"/>
      <c r="M184" s="407"/>
      <c r="N184" s="408"/>
      <c r="O184" s="406"/>
      <c r="P184" s="406"/>
      <c r="Q184" s="406"/>
      <c r="R184" s="406"/>
      <c r="S184" s="406"/>
      <c r="T184" s="406"/>
      <c r="U184" s="409"/>
      <c r="V184" s="599"/>
      <c r="W184" s="599"/>
      <c r="X184" s="599"/>
      <c r="Y184" s="599"/>
      <c r="Z184" s="401"/>
      <c r="AA184" s="399"/>
      <c r="AB184" s="400" t="e">
        <f t="shared" si="38"/>
        <v>#DIV/0!</v>
      </c>
      <c r="AC184" s="397"/>
      <c r="AD184" s="1113"/>
      <c r="AE184" s="1113"/>
      <c r="AF184" s="398"/>
      <c r="AG184" s="399"/>
      <c r="AH184" s="400" t="e">
        <f t="shared" si="39"/>
        <v>#DIV/0!</v>
      </c>
      <c r="AI184" s="397"/>
    </row>
    <row r="185" spans="1:35" ht="19.899999999999999" hidden="1" customHeight="1">
      <c r="A185" s="506"/>
      <c r="B185" s="497"/>
      <c r="C185" s="497"/>
      <c r="D185" s="497"/>
      <c r="E185" s="498"/>
      <c r="F185" s="397"/>
      <c r="G185" s="403"/>
      <c r="H185" s="404"/>
      <c r="I185" s="403"/>
      <c r="J185" s="390"/>
      <c r="K185" s="390"/>
      <c r="L185" s="416"/>
      <c r="M185" s="407"/>
      <c r="N185" s="408"/>
      <c r="O185" s="406"/>
      <c r="P185" s="406"/>
      <c r="Q185" s="406"/>
      <c r="R185" s="406"/>
      <c r="S185" s="406"/>
      <c r="T185" s="406"/>
      <c r="U185" s="409"/>
      <c r="V185" s="599"/>
      <c r="W185" s="599"/>
      <c r="X185" s="599"/>
      <c r="Y185" s="599"/>
      <c r="Z185" s="401"/>
      <c r="AA185" s="399"/>
      <c r="AB185" s="400" t="e">
        <f t="shared" si="38"/>
        <v>#DIV/0!</v>
      </c>
      <c r="AC185" s="397"/>
      <c r="AD185" s="1113"/>
      <c r="AE185" s="1113"/>
      <c r="AF185" s="398"/>
      <c r="AG185" s="399"/>
      <c r="AH185" s="400" t="e">
        <f t="shared" si="39"/>
        <v>#DIV/0!</v>
      </c>
      <c r="AI185" s="397"/>
    </row>
    <row r="186" spans="1:35" ht="19.899999999999999" hidden="1" customHeight="1">
      <c r="A186" s="506"/>
      <c r="B186" s="497"/>
      <c r="C186" s="497"/>
      <c r="D186" s="497"/>
      <c r="E186" s="498"/>
      <c r="F186" s="397"/>
      <c r="G186" s="403"/>
      <c r="H186" s="404"/>
      <c r="I186" s="403"/>
      <c r="J186" s="390"/>
      <c r="K186" s="390"/>
      <c r="L186" s="416"/>
      <c r="M186" s="407"/>
      <c r="N186" s="408"/>
      <c r="O186" s="406"/>
      <c r="P186" s="406"/>
      <c r="Q186" s="406"/>
      <c r="R186" s="406"/>
      <c r="S186" s="406"/>
      <c r="T186" s="406"/>
      <c r="U186" s="409"/>
      <c r="V186" s="599"/>
      <c r="W186" s="599"/>
      <c r="X186" s="599"/>
      <c r="Y186" s="599"/>
      <c r="Z186" s="401"/>
      <c r="AA186" s="399"/>
      <c r="AB186" s="400" t="e">
        <f t="shared" si="38"/>
        <v>#DIV/0!</v>
      </c>
      <c r="AC186" s="397"/>
      <c r="AD186" s="1113"/>
      <c r="AE186" s="1113"/>
      <c r="AF186" s="398"/>
      <c r="AG186" s="399"/>
      <c r="AH186" s="400" t="e">
        <f t="shared" si="39"/>
        <v>#DIV/0!</v>
      </c>
      <c r="AI186" s="397"/>
    </row>
    <row r="187" spans="1:35" ht="19.899999999999999" hidden="1" customHeight="1">
      <c r="A187" s="506"/>
      <c r="B187" s="497"/>
      <c r="C187" s="497"/>
      <c r="D187" s="497"/>
      <c r="E187" s="498"/>
      <c r="F187" s="397"/>
      <c r="G187" s="403"/>
      <c r="H187" s="404"/>
      <c r="I187" s="403"/>
      <c r="J187" s="390"/>
      <c r="K187" s="390"/>
      <c r="L187" s="416"/>
      <c r="M187" s="407"/>
      <c r="N187" s="408"/>
      <c r="O187" s="406"/>
      <c r="P187" s="406"/>
      <c r="Q187" s="406"/>
      <c r="R187" s="406"/>
      <c r="S187" s="406"/>
      <c r="T187" s="406"/>
      <c r="U187" s="409"/>
      <c r="V187" s="599"/>
      <c r="W187" s="599"/>
      <c r="X187" s="599"/>
      <c r="Y187" s="599"/>
      <c r="Z187" s="401"/>
      <c r="AA187" s="399"/>
      <c r="AB187" s="400" t="e">
        <f t="shared" si="38"/>
        <v>#DIV/0!</v>
      </c>
      <c r="AC187" s="397"/>
      <c r="AD187" s="1113"/>
      <c r="AE187" s="1113"/>
      <c r="AF187" s="398"/>
      <c r="AG187" s="399"/>
      <c r="AH187" s="400" t="e">
        <f t="shared" si="39"/>
        <v>#DIV/0!</v>
      </c>
      <c r="AI187" s="397"/>
    </row>
    <row r="188" spans="1:35" ht="19.899999999999999" hidden="1" customHeight="1">
      <c r="A188" s="506"/>
      <c r="B188" s="497"/>
      <c r="C188" s="497"/>
      <c r="D188" s="497"/>
      <c r="E188" s="498"/>
      <c r="F188" s="397"/>
      <c r="G188" s="403"/>
      <c r="H188" s="404"/>
      <c r="I188" s="403"/>
      <c r="J188" s="390"/>
      <c r="K188" s="390"/>
      <c r="L188" s="416"/>
      <c r="M188" s="407"/>
      <c r="N188" s="408"/>
      <c r="O188" s="406"/>
      <c r="P188" s="406"/>
      <c r="Q188" s="406"/>
      <c r="R188" s="406"/>
      <c r="S188" s="406"/>
      <c r="T188" s="406"/>
      <c r="U188" s="409"/>
      <c r="V188" s="599"/>
      <c r="W188" s="599"/>
      <c r="X188" s="599"/>
      <c r="Y188" s="599"/>
      <c r="Z188" s="401"/>
      <c r="AA188" s="399"/>
      <c r="AB188" s="400" t="e">
        <f t="shared" si="38"/>
        <v>#DIV/0!</v>
      </c>
      <c r="AC188" s="397"/>
      <c r="AD188" s="1113"/>
      <c r="AE188" s="1113"/>
      <c r="AF188" s="398"/>
      <c r="AG188" s="399"/>
      <c r="AH188" s="400" t="e">
        <f t="shared" si="39"/>
        <v>#DIV/0!</v>
      </c>
      <c r="AI188" s="397"/>
    </row>
    <row r="189" spans="1:35" ht="19.899999999999999" hidden="1" customHeight="1">
      <c r="A189" s="506"/>
      <c r="B189" s="497"/>
      <c r="C189" s="497"/>
      <c r="D189" s="497"/>
      <c r="E189" s="498"/>
      <c r="F189" s="397"/>
      <c r="G189" s="403"/>
      <c r="H189" s="404"/>
      <c r="I189" s="403"/>
      <c r="J189" s="390"/>
      <c r="K189" s="390"/>
      <c r="L189" s="416"/>
      <c r="M189" s="407"/>
      <c r="N189" s="408"/>
      <c r="O189" s="406"/>
      <c r="P189" s="406"/>
      <c r="Q189" s="406"/>
      <c r="R189" s="406"/>
      <c r="S189" s="406"/>
      <c r="T189" s="406"/>
      <c r="U189" s="409"/>
      <c r="V189" s="599"/>
      <c r="W189" s="599"/>
      <c r="X189" s="599"/>
      <c r="Y189" s="599"/>
      <c r="Z189" s="401"/>
      <c r="AA189" s="399"/>
      <c r="AB189" s="400" t="e">
        <f t="shared" si="38"/>
        <v>#DIV/0!</v>
      </c>
      <c r="AC189" s="397"/>
      <c r="AD189" s="1113"/>
      <c r="AE189" s="1113"/>
      <c r="AF189" s="398"/>
      <c r="AG189" s="399"/>
      <c r="AH189" s="400" t="e">
        <f t="shared" si="39"/>
        <v>#DIV/0!</v>
      </c>
      <c r="AI189" s="397"/>
    </row>
    <row r="190" spans="1:35" ht="19.899999999999999" hidden="1" customHeight="1">
      <c r="A190" s="506"/>
      <c r="B190" s="497"/>
      <c r="C190" s="497"/>
      <c r="D190" s="497"/>
      <c r="E190" s="498"/>
      <c r="F190" s="397"/>
      <c r="G190" s="403"/>
      <c r="H190" s="404"/>
      <c r="I190" s="403"/>
      <c r="J190" s="390"/>
      <c r="K190" s="390"/>
      <c r="L190" s="416"/>
      <c r="M190" s="407"/>
      <c r="N190" s="408"/>
      <c r="O190" s="406"/>
      <c r="P190" s="406"/>
      <c r="Q190" s="406"/>
      <c r="R190" s="406"/>
      <c r="S190" s="406"/>
      <c r="T190" s="406"/>
      <c r="U190" s="409"/>
      <c r="V190" s="599"/>
      <c r="W190" s="599"/>
      <c r="X190" s="599"/>
      <c r="Y190" s="599"/>
      <c r="Z190" s="401"/>
      <c r="AA190" s="399"/>
      <c r="AB190" s="400" t="e">
        <f t="shared" si="38"/>
        <v>#DIV/0!</v>
      </c>
      <c r="AC190" s="397"/>
      <c r="AD190" s="1113"/>
      <c r="AE190" s="1113"/>
      <c r="AF190" s="398"/>
      <c r="AG190" s="399"/>
      <c r="AH190" s="400" t="e">
        <f t="shared" si="39"/>
        <v>#DIV/0!</v>
      </c>
      <c r="AI190" s="397"/>
    </row>
    <row r="191" spans="1:35" ht="19.899999999999999" hidden="1" customHeight="1">
      <c r="A191" s="506"/>
      <c r="B191" s="497"/>
      <c r="C191" s="497"/>
      <c r="D191" s="497"/>
      <c r="E191" s="498"/>
      <c r="F191" s="397"/>
      <c r="G191" s="403"/>
      <c r="H191" s="404"/>
      <c r="I191" s="403"/>
      <c r="J191" s="390"/>
      <c r="K191" s="390"/>
      <c r="L191" s="416"/>
      <c r="M191" s="407"/>
      <c r="N191" s="408"/>
      <c r="O191" s="406"/>
      <c r="P191" s="406"/>
      <c r="Q191" s="406"/>
      <c r="R191" s="406"/>
      <c r="S191" s="406"/>
      <c r="T191" s="406"/>
      <c r="U191" s="409"/>
      <c r="V191" s="599"/>
      <c r="W191" s="599"/>
      <c r="X191" s="599"/>
      <c r="Y191" s="599"/>
      <c r="Z191" s="401"/>
      <c r="AA191" s="399"/>
      <c r="AB191" s="400" t="e">
        <f t="shared" si="38"/>
        <v>#DIV/0!</v>
      </c>
      <c r="AC191" s="397"/>
      <c r="AD191" s="1113"/>
      <c r="AE191" s="1113"/>
      <c r="AF191" s="398"/>
      <c r="AG191" s="399"/>
      <c r="AH191" s="400" t="e">
        <f t="shared" si="39"/>
        <v>#DIV/0!</v>
      </c>
      <c r="AI191" s="397"/>
    </row>
    <row r="192" spans="1:35" ht="19.899999999999999" hidden="1" customHeight="1">
      <c r="A192" s="506"/>
      <c r="B192" s="497"/>
      <c r="C192" s="497"/>
      <c r="D192" s="497"/>
      <c r="E192" s="498"/>
      <c r="F192" s="397"/>
      <c r="G192" s="403"/>
      <c r="H192" s="404"/>
      <c r="I192" s="403"/>
      <c r="J192" s="390"/>
      <c r="K192" s="390"/>
      <c r="L192" s="416"/>
      <c r="M192" s="407"/>
      <c r="N192" s="408"/>
      <c r="O192" s="406"/>
      <c r="P192" s="406"/>
      <c r="Q192" s="406"/>
      <c r="R192" s="406"/>
      <c r="S192" s="406"/>
      <c r="T192" s="406"/>
      <c r="U192" s="409"/>
      <c r="V192" s="599"/>
      <c r="W192" s="599"/>
      <c r="X192" s="599"/>
      <c r="Y192" s="599"/>
      <c r="Z192" s="401"/>
      <c r="AA192" s="399"/>
      <c r="AB192" s="400" t="e">
        <f t="shared" si="38"/>
        <v>#DIV/0!</v>
      </c>
      <c r="AC192" s="397"/>
      <c r="AD192" s="1113"/>
      <c r="AE192" s="1113"/>
      <c r="AF192" s="398"/>
      <c r="AG192" s="399"/>
      <c r="AH192" s="400" t="e">
        <f t="shared" si="39"/>
        <v>#DIV/0!</v>
      </c>
      <c r="AI192" s="397"/>
    </row>
    <row r="193" spans="1:35" ht="19.899999999999999" hidden="1" customHeight="1">
      <c r="A193" s="506"/>
      <c r="B193" s="497"/>
      <c r="C193" s="497"/>
      <c r="D193" s="497"/>
      <c r="E193" s="498"/>
      <c r="F193" s="397"/>
      <c r="G193" s="403"/>
      <c r="H193" s="404"/>
      <c r="I193" s="403"/>
      <c r="J193" s="390"/>
      <c r="K193" s="390"/>
      <c r="L193" s="416"/>
      <c r="M193" s="407"/>
      <c r="N193" s="408"/>
      <c r="O193" s="406"/>
      <c r="P193" s="406"/>
      <c r="Q193" s="406"/>
      <c r="R193" s="406"/>
      <c r="S193" s="406"/>
      <c r="T193" s="406"/>
      <c r="U193" s="409"/>
      <c r="V193" s="599"/>
      <c r="W193" s="599"/>
      <c r="X193" s="599"/>
      <c r="Y193" s="599"/>
      <c r="Z193" s="401"/>
      <c r="AA193" s="399"/>
      <c r="AB193" s="400" t="e">
        <f t="shared" si="38"/>
        <v>#DIV/0!</v>
      </c>
      <c r="AC193" s="397"/>
      <c r="AD193" s="1113"/>
      <c r="AE193" s="1113"/>
      <c r="AF193" s="398"/>
      <c r="AG193" s="399"/>
      <c r="AH193" s="400" t="e">
        <f t="shared" si="39"/>
        <v>#DIV/0!</v>
      </c>
      <c r="AI193" s="397"/>
    </row>
    <row r="194" spans="1:35" ht="19.899999999999999" hidden="1" customHeight="1">
      <c r="A194" s="506"/>
      <c r="B194" s="497"/>
      <c r="C194" s="497"/>
      <c r="D194" s="497"/>
      <c r="E194" s="498"/>
      <c r="F194" s="397"/>
      <c r="G194" s="403"/>
      <c r="H194" s="404"/>
      <c r="I194" s="403"/>
      <c r="J194" s="390"/>
      <c r="K194" s="390"/>
      <c r="L194" s="416"/>
      <c r="M194" s="407"/>
      <c r="N194" s="408"/>
      <c r="O194" s="406"/>
      <c r="P194" s="406"/>
      <c r="Q194" s="406"/>
      <c r="R194" s="406"/>
      <c r="S194" s="406"/>
      <c r="T194" s="406"/>
      <c r="U194" s="409"/>
      <c r="V194" s="599"/>
      <c r="W194" s="599"/>
      <c r="X194" s="599"/>
      <c r="Y194" s="599"/>
      <c r="Z194" s="401"/>
      <c r="AA194" s="399"/>
      <c r="AB194" s="400" t="e">
        <f t="shared" si="38"/>
        <v>#DIV/0!</v>
      </c>
      <c r="AC194" s="397"/>
      <c r="AD194" s="1113"/>
      <c r="AE194" s="1113"/>
      <c r="AF194" s="398"/>
      <c r="AG194" s="399"/>
      <c r="AH194" s="400" t="e">
        <f t="shared" si="39"/>
        <v>#DIV/0!</v>
      </c>
      <c r="AI194" s="397"/>
    </row>
    <row r="195" spans="1:35" ht="19.899999999999999" hidden="1" customHeight="1">
      <c r="A195" s="506"/>
      <c r="B195" s="497"/>
      <c r="C195" s="497"/>
      <c r="D195" s="497"/>
      <c r="E195" s="498"/>
      <c r="F195" s="397"/>
      <c r="G195" s="403"/>
      <c r="H195" s="404"/>
      <c r="I195" s="403"/>
      <c r="J195" s="390"/>
      <c r="K195" s="390"/>
      <c r="L195" s="416"/>
      <c r="M195" s="407"/>
      <c r="N195" s="408"/>
      <c r="O195" s="406"/>
      <c r="P195" s="406"/>
      <c r="Q195" s="406"/>
      <c r="R195" s="406"/>
      <c r="S195" s="406"/>
      <c r="T195" s="406"/>
      <c r="U195" s="409"/>
      <c r="V195" s="599"/>
      <c r="W195" s="599"/>
      <c r="X195" s="599"/>
      <c r="Y195" s="599"/>
      <c r="Z195" s="401"/>
      <c r="AA195" s="399"/>
      <c r="AB195" s="400" t="e">
        <f t="shared" si="38"/>
        <v>#DIV/0!</v>
      </c>
      <c r="AC195" s="397"/>
      <c r="AD195" s="1113"/>
      <c r="AE195" s="1113"/>
      <c r="AF195" s="398"/>
      <c r="AG195" s="399"/>
      <c r="AH195" s="400" t="e">
        <f t="shared" si="39"/>
        <v>#DIV/0!</v>
      </c>
      <c r="AI195" s="397"/>
    </row>
    <row r="196" spans="1:35" ht="19.899999999999999" hidden="1" customHeight="1">
      <c r="A196" s="506"/>
      <c r="B196" s="497"/>
      <c r="C196" s="497"/>
      <c r="D196" s="497"/>
      <c r="E196" s="498"/>
      <c r="F196" s="397"/>
      <c r="G196" s="403"/>
      <c r="H196" s="404"/>
      <c r="I196" s="403"/>
      <c r="J196" s="390"/>
      <c r="K196" s="390"/>
      <c r="L196" s="416"/>
      <c r="M196" s="407"/>
      <c r="N196" s="408"/>
      <c r="O196" s="406"/>
      <c r="P196" s="406"/>
      <c r="Q196" s="406"/>
      <c r="R196" s="406"/>
      <c r="S196" s="406"/>
      <c r="T196" s="406"/>
      <c r="U196" s="409"/>
      <c r="V196" s="599"/>
      <c r="W196" s="599"/>
      <c r="X196" s="599"/>
      <c r="Y196" s="599"/>
      <c r="Z196" s="401"/>
      <c r="AA196" s="399"/>
      <c r="AB196" s="400" t="e">
        <f t="shared" si="38"/>
        <v>#DIV/0!</v>
      </c>
      <c r="AC196" s="397"/>
      <c r="AD196" s="1113"/>
      <c r="AE196" s="1113"/>
      <c r="AF196" s="398"/>
      <c r="AG196" s="399"/>
      <c r="AH196" s="400" t="e">
        <f t="shared" si="39"/>
        <v>#DIV/0!</v>
      </c>
      <c r="AI196" s="397"/>
    </row>
    <row r="197" spans="1:35" ht="19.899999999999999" hidden="1" customHeight="1">
      <c r="A197" s="506"/>
      <c r="B197" s="497"/>
      <c r="C197" s="497"/>
      <c r="D197" s="497"/>
      <c r="E197" s="498"/>
      <c r="F197" s="397"/>
      <c r="G197" s="403"/>
      <c r="H197" s="404"/>
      <c r="I197" s="403"/>
      <c r="J197" s="390"/>
      <c r="K197" s="390"/>
      <c r="L197" s="416"/>
      <c r="M197" s="407"/>
      <c r="N197" s="408"/>
      <c r="O197" s="406"/>
      <c r="P197" s="406"/>
      <c r="Q197" s="406"/>
      <c r="R197" s="406"/>
      <c r="S197" s="406"/>
      <c r="T197" s="406"/>
      <c r="U197" s="409"/>
      <c r="V197" s="599"/>
      <c r="W197" s="599"/>
      <c r="X197" s="599"/>
      <c r="Y197" s="599"/>
      <c r="Z197" s="401"/>
      <c r="AA197" s="399"/>
      <c r="AB197" s="400" t="e">
        <f t="shared" si="38"/>
        <v>#DIV/0!</v>
      </c>
      <c r="AC197" s="397"/>
      <c r="AD197" s="1113"/>
      <c r="AE197" s="1113"/>
      <c r="AF197" s="398"/>
      <c r="AG197" s="399"/>
      <c r="AH197" s="400" t="e">
        <f t="shared" si="39"/>
        <v>#DIV/0!</v>
      </c>
      <c r="AI197" s="397"/>
    </row>
    <row r="198" spans="1:35" ht="19.899999999999999" hidden="1" customHeight="1">
      <c r="A198" s="506"/>
      <c r="B198" s="497"/>
      <c r="C198" s="497"/>
      <c r="D198" s="497"/>
      <c r="E198" s="498"/>
      <c r="F198" s="397"/>
      <c r="G198" s="403"/>
      <c r="H198" s="404"/>
      <c r="I198" s="403"/>
      <c r="J198" s="390"/>
      <c r="K198" s="390"/>
      <c r="L198" s="416"/>
      <c r="M198" s="407"/>
      <c r="N198" s="408"/>
      <c r="O198" s="406"/>
      <c r="P198" s="406"/>
      <c r="Q198" s="406"/>
      <c r="R198" s="406"/>
      <c r="S198" s="406"/>
      <c r="T198" s="406"/>
      <c r="U198" s="409"/>
      <c r="V198" s="600"/>
      <c r="W198" s="600"/>
      <c r="X198" s="600"/>
      <c r="Y198" s="600"/>
      <c r="Z198" s="532"/>
      <c r="AA198" s="533"/>
      <c r="AB198" s="534" t="e">
        <f t="shared" si="38"/>
        <v>#DIV/0!</v>
      </c>
      <c r="AC198" s="535"/>
      <c r="AD198" s="1120"/>
      <c r="AE198" s="1120"/>
      <c r="AF198" s="536"/>
      <c r="AG198" s="533"/>
      <c r="AH198" s="534" t="e">
        <f t="shared" si="39"/>
        <v>#DIV/0!</v>
      </c>
      <c r="AI198" s="535"/>
    </row>
    <row r="199" spans="1:35" ht="19.899999999999999" hidden="1" customHeight="1">
      <c r="B199" s="417"/>
      <c r="C199" s="417"/>
      <c r="D199" s="417"/>
      <c r="E199" s="418"/>
      <c r="F199" s="419"/>
      <c r="G199" s="419"/>
      <c r="H199" s="420"/>
      <c r="I199" s="419"/>
      <c r="J199" s="421"/>
      <c r="K199" s="421"/>
      <c r="L199" s="421"/>
      <c r="M199" s="422"/>
      <c r="N199" s="423"/>
      <c r="O199" s="422"/>
      <c r="P199" s="422"/>
      <c r="Q199" s="422"/>
      <c r="R199" s="422"/>
      <c r="S199" s="422"/>
      <c r="T199" s="422"/>
      <c r="U199" s="422"/>
      <c r="V199" s="422"/>
      <c r="W199" s="422"/>
      <c r="X199" s="422"/>
      <c r="Y199" s="422"/>
      <c r="Z199" s="422"/>
      <c r="AA199" s="424"/>
      <c r="AB199" s="425"/>
      <c r="AC199" s="419"/>
      <c r="AD199" s="419"/>
      <c r="AE199" s="419"/>
      <c r="AF199" s="423"/>
      <c r="AG199" s="424"/>
      <c r="AH199" s="425"/>
      <c r="AI199" s="419"/>
    </row>
    <row r="200" spans="1:35" ht="19.899999999999999" hidden="1" customHeight="1">
      <c r="B200" s="417"/>
      <c r="C200" s="417"/>
      <c r="D200" s="417"/>
      <c r="E200" s="418"/>
      <c r="F200" s="419"/>
      <c r="G200" s="419"/>
      <c r="H200" s="420"/>
      <c r="I200" s="419"/>
      <c r="J200" s="421"/>
      <c r="K200" s="421"/>
      <c r="L200" s="421"/>
      <c r="M200" s="422"/>
      <c r="N200" s="423"/>
      <c r="O200" s="422"/>
      <c r="P200" s="422"/>
      <c r="Q200" s="422"/>
      <c r="R200" s="422"/>
      <c r="S200" s="422"/>
      <c r="T200" s="422"/>
      <c r="U200" s="422"/>
      <c r="V200" s="422"/>
      <c r="W200" s="422"/>
      <c r="X200" s="422"/>
      <c r="Y200" s="422"/>
      <c r="Z200" s="422"/>
      <c r="AA200" s="424"/>
      <c r="AB200" s="425"/>
      <c r="AC200" s="419"/>
      <c r="AD200" s="419"/>
      <c r="AE200" s="419"/>
      <c r="AF200" s="423"/>
      <c r="AG200" s="424"/>
      <c r="AH200" s="425"/>
      <c r="AI200" s="419"/>
    </row>
    <row r="201" spans="1:35" ht="19.899999999999999" hidden="1" customHeight="1">
      <c r="B201" s="417"/>
      <c r="C201" s="417"/>
      <c r="D201" s="417"/>
      <c r="E201" s="418"/>
      <c r="F201" s="419"/>
      <c r="G201" s="419"/>
      <c r="H201" s="420"/>
      <c r="I201" s="419"/>
      <c r="J201" s="421"/>
      <c r="K201" s="421"/>
      <c r="L201" s="421"/>
      <c r="M201" s="422"/>
      <c r="N201" s="423"/>
      <c r="O201" s="422"/>
      <c r="P201" s="422"/>
      <c r="Q201" s="422"/>
      <c r="R201" s="422"/>
      <c r="S201" s="422"/>
      <c r="T201" s="422"/>
      <c r="U201" s="422"/>
      <c r="V201" s="422"/>
      <c r="W201" s="422"/>
      <c r="X201" s="422"/>
      <c r="Y201" s="422"/>
      <c r="Z201" s="422"/>
      <c r="AA201" s="424"/>
      <c r="AB201" s="425"/>
      <c r="AC201" s="419"/>
      <c r="AD201" s="419"/>
      <c r="AE201" s="419"/>
      <c r="AF201" s="423"/>
      <c r="AG201" s="424"/>
      <c r="AH201" s="425"/>
      <c r="AI201" s="419"/>
    </row>
    <row r="202" spans="1:35" ht="19.899999999999999" hidden="1" customHeight="1">
      <c r="B202" s="417"/>
      <c r="C202" s="417"/>
      <c r="D202" s="417"/>
      <c r="E202" s="418"/>
      <c r="F202" s="419"/>
      <c r="G202" s="419"/>
      <c r="H202" s="420"/>
      <c r="I202" s="419"/>
      <c r="J202" s="421"/>
      <c r="K202" s="421"/>
      <c r="L202" s="421"/>
      <c r="M202" s="422"/>
      <c r="N202" s="423"/>
      <c r="O202" s="422"/>
      <c r="P202" s="422"/>
      <c r="Q202" s="422"/>
      <c r="R202" s="422"/>
      <c r="S202" s="422"/>
      <c r="T202" s="422"/>
      <c r="U202" s="422"/>
      <c r="V202" s="422"/>
      <c r="W202" s="422"/>
      <c r="X202" s="422"/>
      <c r="Y202" s="422"/>
      <c r="Z202" s="422"/>
      <c r="AA202" s="424"/>
      <c r="AB202" s="425"/>
      <c r="AC202" s="419"/>
      <c r="AD202" s="419"/>
      <c r="AE202" s="419"/>
      <c r="AF202" s="423"/>
      <c r="AG202" s="424"/>
      <c r="AH202" s="425"/>
      <c r="AI202" s="419"/>
    </row>
    <row r="203" spans="1:35" hidden="1"/>
    <row r="204" spans="1:35" hidden="1"/>
    <row r="205" spans="1:35" hidden="1"/>
    <row r="206" spans="1:35" hidden="1"/>
    <row r="207" spans="1:35" hidden="1"/>
    <row r="208" spans="1:35" hidden="1"/>
    <row r="209" spans="10:12" hidden="1"/>
    <row r="210" spans="10:12" ht="15" hidden="1">
      <c r="J210" s="382" t="s">
        <v>364</v>
      </c>
      <c r="L210" s="385" t="s">
        <v>350</v>
      </c>
    </row>
    <row r="211" spans="10:12" ht="15" hidden="1">
      <c r="L211" s="386"/>
    </row>
    <row r="212" spans="10:12" ht="15" hidden="1">
      <c r="J212" s="382" t="s">
        <v>365</v>
      </c>
      <c r="L212" s="530" t="s">
        <v>134</v>
      </c>
    </row>
    <row r="213" spans="10:12" ht="15" hidden="1">
      <c r="J213" s="382" t="s">
        <v>366</v>
      </c>
      <c r="L213" s="530" t="s">
        <v>378</v>
      </c>
    </row>
    <row r="214" spans="10:12" ht="15" hidden="1">
      <c r="J214" s="382" t="s">
        <v>367</v>
      </c>
      <c r="L214" s="530" t="s">
        <v>205</v>
      </c>
    </row>
    <row r="215" spans="10:12" ht="15" hidden="1">
      <c r="J215" s="382" t="s">
        <v>368</v>
      </c>
      <c r="L215" s="530" t="s">
        <v>362</v>
      </c>
    </row>
    <row r="216" spans="10:12" ht="15" hidden="1">
      <c r="J216" s="382" t="s">
        <v>369</v>
      </c>
      <c r="L216" s="530" t="s">
        <v>379</v>
      </c>
    </row>
    <row r="217" spans="10:12" ht="15" hidden="1">
      <c r="J217" s="382" t="s">
        <v>229</v>
      </c>
      <c r="L217" s="530" t="s">
        <v>380</v>
      </c>
    </row>
    <row r="218" spans="10:12" ht="15" hidden="1">
      <c r="J218" s="382" t="s">
        <v>230</v>
      </c>
      <c r="L218" s="530" t="s">
        <v>351</v>
      </c>
    </row>
    <row r="219" spans="10:12" ht="15" hidden="1">
      <c r="J219" s="382" t="s">
        <v>231</v>
      </c>
      <c r="L219" s="530" t="s">
        <v>352</v>
      </c>
    </row>
    <row r="220" spans="10:12" ht="15" hidden="1">
      <c r="J220" s="382" t="s">
        <v>370</v>
      </c>
      <c r="L220" s="530" t="s">
        <v>432</v>
      </c>
    </row>
    <row r="221" spans="10:12" ht="15" hidden="1">
      <c r="J221" s="382" t="s">
        <v>363</v>
      </c>
      <c r="L221" s="530" t="s">
        <v>435</v>
      </c>
    </row>
    <row r="222" spans="10:12" ht="15" hidden="1">
      <c r="L222" s="530" t="s">
        <v>436</v>
      </c>
    </row>
    <row r="223" spans="10:12" ht="15" hidden="1">
      <c r="L223" s="530" t="s">
        <v>437</v>
      </c>
    </row>
    <row r="224" spans="10:12" ht="15" hidden="1">
      <c r="L224" s="530" t="s">
        <v>440</v>
      </c>
    </row>
    <row r="225" spans="11:12" ht="15" hidden="1">
      <c r="L225" s="530" t="s">
        <v>354</v>
      </c>
    </row>
    <row r="226" spans="11:12" ht="15" hidden="1">
      <c r="L226" s="530" t="s">
        <v>441</v>
      </c>
    </row>
    <row r="227" spans="11:12" ht="15" hidden="1">
      <c r="L227" s="530" t="s">
        <v>173</v>
      </c>
    </row>
    <row r="228" spans="11:12" ht="15" hidden="1">
      <c r="L228" s="530" t="s">
        <v>100</v>
      </c>
    </row>
    <row r="229" spans="11:12" ht="15" hidden="1">
      <c r="L229" s="530" t="s">
        <v>462</v>
      </c>
    </row>
    <row r="230" spans="11:12" ht="15" hidden="1">
      <c r="K230" s="387"/>
      <c r="L230" s="530" t="s">
        <v>188</v>
      </c>
    </row>
    <row r="231" spans="11:12" ht="15" hidden="1">
      <c r="L231" s="530" t="s">
        <v>463</v>
      </c>
    </row>
    <row r="232" spans="11:12" ht="15" hidden="1">
      <c r="L232" s="530" t="s">
        <v>464</v>
      </c>
    </row>
    <row r="233" spans="11:12" ht="15" hidden="1">
      <c r="L233" s="530" t="s">
        <v>469</v>
      </c>
    </row>
    <row r="234" spans="11:12" ht="15" hidden="1">
      <c r="L234" s="530" t="s">
        <v>472</v>
      </c>
    </row>
    <row r="235" spans="11:12" ht="15" hidden="1">
      <c r="L235" s="530" t="s">
        <v>473</v>
      </c>
    </row>
    <row r="236" spans="11:12" ht="15" hidden="1">
      <c r="L236" s="530" t="s">
        <v>190</v>
      </c>
    </row>
    <row r="237" spans="11:12" ht="15" hidden="1">
      <c r="L237" s="530" t="s">
        <v>74</v>
      </c>
    </row>
    <row r="238" spans="11:12" ht="15" hidden="1">
      <c r="L238" s="530" t="s">
        <v>436</v>
      </c>
    </row>
    <row r="239" spans="11:12" ht="15" hidden="1">
      <c r="K239" s="387"/>
      <c r="L239" s="530" t="s">
        <v>700</v>
      </c>
    </row>
    <row r="240" spans="11:12" ht="15" hidden="1">
      <c r="L240" s="530" t="s">
        <v>202</v>
      </c>
    </row>
    <row r="241" spans="12:14" ht="15" hidden="1">
      <c r="L241" s="530" t="s">
        <v>509</v>
      </c>
    </row>
    <row r="242" spans="12:14" ht="15" hidden="1">
      <c r="L242" s="530" t="s">
        <v>591</v>
      </c>
    </row>
    <row r="243" spans="12:14" ht="15" hidden="1">
      <c r="L243" s="530" t="s">
        <v>594</v>
      </c>
    </row>
    <row r="244" spans="12:14" ht="15" hidden="1">
      <c r="L244" s="530" t="s">
        <v>596</v>
      </c>
    </row>
    <row r="245" spans="12:14" ht="15" hidden="1">
      <c r="L245" s="530" t="s">
        <v>602</v>
      </c>
    </row>
    <row r="246" spans="12:14" ht="15" hidden="1">
      <c r="L246" s="530" t="s">
        <v>606</v>
      </c>
      <c r="N246" s="530"/>
    </row>
    <row r="247" spans="12:14" ht="15" hidden="1">
      <c r="L247" s="530" t="s">
        <v>353</v>
      </c>
    </row>
    <row r="248" spans="12:14" ht="15" hidden="1">
      <c r="L248" s="530" t="s">
        <v>355</v>
      </c>
    </row>
    <row r="249" spans="12:14" ht="15" hidden="1">
      <c r="L249" s="530" t="s">
        <v>356</v>
      </c>
    </row>
    <row r="250" spans="12:14" ht="15" hidden="1">
      <c r="L250" s="530" t="s">
        <v>357</v>
      </c>
    </row>
    <row r="251" spans="12:14" ht="15" hidden="1">
      <c r="L251" s="530" t="s">
        <v>192</v>
      </c>
    </row>
    <row r="252" spans="12:14" ht="15" hidden="1">
      <c r="L252" s="530" t="s">
        <v>358</v>
      </c>
    </row>
    <row r="253" spans="12:14" ht="15" hidden="1">
      <c r="L253" s="530" t="s">
        <v>359</v>
      </c>
    </row>
    <row r="254" spans="12:14" ht="15" hidden="1">
      <c r="L254" s="530" t="s">
        <v>348</v>
      </c>
    </row>
    <row r="255" spans="12:14" ht="15" hidden="1">
      <c r="L255" s="530" t="s">
        <v>360</v>
      </c>
    </row>
    <row r="256" spans="12:14" ht="15" hidden="1">
      <c r="L256" s="530" t="s">
        <v>361</v>
      </c>
    </row>
    <row r="257" spans="12:12" ht="15" hidden="1">
      <c r="L257" s="530" t="s">
        <v>357</v>
      </c>
    </row>
    <row r="258" spans="12:12" ht="15" hidden="1">
      <c r="L258" s="530" t="s">
        <v>363</v>
      </c>
    </row>
    <row r="259" spans="12:12" hidden="1"/>
    <row r="260" spans="12:12" hidden="1"/>
  </sheetData>
  <sheetProtection password="E86C" sheet="1" objects="1" scenarios="1"/>
  <mergeCells count="27">
    <mergeCell ref="B5:AB5"/>
    <mergeCell ref="A7:A9"/>
    <mergeCell ref="B7:B9"/>
    <mergeCell ref="C7:C9"/>
    <mergeCell ref="D7:D9"/>
    <mergeCell ref="E7:E9"/>
    <mergeCell ref="F7:F9"/>
    <mergeCell ref="H7:H9"/>
    <mergeCell ref="I7:I9"/>
    <mergeCell ref="J7:J9"/>
    <mergeCell ref="Z7:AC8"/>
    <mergeCell ref="K7:K9"/>
    <mergeCell ref="L7:L9"/>
    <mergeCell ref="M7:M9"/>
    <mergeCell ref="N7:U8"/>
    <mergeCell ref="V7:V9"/>
    <mergeCell ref="AK7:AM8"/>
    <mergeCell ref="W8:W9"/>
    <mergeCell ref="X8:X9"/>
    <mergeCell ref="Y8:Y9"/>
    <mergeCell ref="W7:Y7"/>
    <mergeCell ref="AF8:AF9"/>
    <mergeCell ref="AG8:AG9"/>
    <mergeCell ref="AH8:AH9"/>
    <mergeCell ref="AI8:AI9"/>
    <mergeCell ref="AF7:AI7"/>
    <mergeCell ref="AD7:AE9"/>
  </mergeCells>
  <dataValidations count="3">
    <dataValidation type="list" allowBlank="1" showInputMessage="1" showErrorMessage="1" sqref="L75:L202 L10:L73" xr:uid="{00000000-0002-0000-0C00-000000000000}">
      <formula1>$L$212:$L$257</formula1>
    </dataValidation>
    <dataValidation type="list" allowBlank="1" showInputMessage="1" showErrorMessage="1" sqref="J10:J202" xr:uid="{00000000-0002-0000-0C00-000001000000}">
      <formula1>$J$212:$J$216</formula1>
    </dataValidation>
    <dataValidation type="list" allowBlank="1" showInputMessage="1" showErrorMessage="1" sqref="K10:K202" xr:uid="{00000000-0002-0000-0C00-000002000000}">
      <formula1>$J$217:$J$221</formula1>
    </dataValidation>
  </dataValidations>
  <pageMargins left="0" right="0" top="0" bottom="0" header="0.3" footer="0.3"/>
  <pageSetup paperSize="9" scale="7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00CC"/>
  </sheetPr>
  <dimension ref="A1:AP260"/>
  <sheetViews>
    <sheetView view="pageBreakPreview" zoomScale="70" zoomScaleNormal="70" zoomScaleSheetLayoutView="70" workbookViewId="0">
      <pane xSplit="5" ySplit="9" topLeftCell="L10" activePane="bottomRight" state="frozen"/>
      <selection pane="topRight" activeCell="D1" sqref="D1"/>
      <selection pane="bottomLeft" activeCell="A10" sqref="A10"/>
      <selection pane="bottomRight" activeCell="AC15" sqref="AC15"/>
    </sheetView>
  </sheetViews>
  <sheetFormatPr defaultColWidth="8.85546875" defaultRowHeight="12.75"/>
  <cols>
    <col min="1" max="1" width="5.5703125" style="382" customWidth="1"/>
    <col min="2" max="2" width="10.42578125" style="382" customWidth="1"/>
    <col min="3" max="3" width="6.85546875" style="382" customWidth="1"/>
    <col min="4" max="4" width="6.28515625" style="382" hidden="1" customWidth="1"/>
    <col min="5" max="5" width="55.7109375" style="382" customWidth="1"/>
    <col min="6" max="6" width="17.42578125" style="382" hidden="1" customWidth="1"/>
    <col min="7" max="7" width="13" style="382" hidden="1" customWidth="1"/>
    <col min="8" max="8" width="12" style="405" hidden="1" customWidth="1"/>
    <col min="9" max="9" width="11.42578125" style="382" hidden="1" customWidth="1"/>
    <col min="10" max="10" width="7.5703125" style="382" hidden="1" customWidth="1"/>
    <col min="11" max="11" width="11.140625" style="382" hidden="1" customWidth="1"/>
    <col min="12" max="12" width="11.5703125" style="382" customWidth="1"/>
    <col min="13" max="13" width="8" style="382" customWidth="1"/>
    <col min="14" max="14" width="9.5703125" style="382" customWidth="1"/>
    <col min="15" max="16" width="10.140625" style="382" hidden="1" customWidth="1"/>
    <col min="17" max="17" width="9.5703125" style="382" customWidth="1"/>
    <col min="18" max="18" width="10.140625" style="382" hidden="1" customWidth="1"/>
    <col min="19" max="21" width="8.7109375" style="382" hidden="1" customWidth="1"/>
    <col min="22" max="22" width="10.28515625" style="382" customWidth="1"/>
    <col min="23" max="24" width="10.7109375" style="382" hidden="1" customWidth="1"/>
    <col min="25" max="25" width="11.7109375" style="382" hidden="1" customWidth="1"/>
    <col min="26" max="27" width="10.7109375" style="382" hidden="1" customWidth="1"/>
    <col min="28" max="28" width="12.5703125" style="382" customWidth="1"/>
    <col min="29" max="29" width="41" style="382" customWidth="1"/>
    <col min="30" max="30" width="12" style="382" hidden="1" customWidth="1"/>
    <col min="31" max="32" width="13.85546875" style="382" customWidth="1"/>
    <col min="33" max="34" width="10.7109375" style="382" hidden="1" customWidth="1"/>
    <col min="35" max="35" width="11.7109375" style="382" hidden="1" customWidth="1"/>
    <col min="36" max="36" width="13.7109375" style="382" hidden="1" customWidth="1"/>
    <col min="37" max="37" width="1" style="382" hidden="1" customWidth="1"/>
    <col min="38" max="40" width="13.7109375" style="382" hidden="1" customWidth="1"/>
    <col min="41" max="16384" width="8.85546875" style="382"/>
  </cols>
  <sheetData>
    <row r="1" spans="1:40" ht="15" customHeight="1">
      <c r="A1" s="494"/>
      <c r="B1" s="494"/>
      <c r="C1" s="494"/>
      <c r="D1" s="494"/>
      <c r="E1" s="494"/>
      <c r="F1" s="494"/>
      <c r="G1" s="494"/>
      <c r="H1" s="495"/>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row>
    <row r="2" spans="1:40" ht="15" customHeight="1">
      <c r="A2" s="494"/>
      <c r="B2" s="494"/>
      <c r="C2" s="494"/>
      <c r="D2" s="494"/>
      <c r="E2" s="494"/>
      <c r="F2" s="494"/>
      <c r="G2" s="494"/>
      <c r="H2" s="495"/>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row>
    <row r="3" spans="1:40" ht="15" customHeight="1">
      <c r="A3" s="494"/>
      <c r="B3" s="494"/>
      <c r="C3" s="494"/>
      <c r="D3" s="494"/>
      <c r="E3" s="494"/>
      <c r="F3" s="494"/>
      <c r="G3" s="494"/>
      <c r="H3" s="495"/>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row>
    <row r="4" spans="1:40" ht="15" customHeight="1">
      <c r="A4" s="494"/>
      <c r="B4" s="494"/>
      <c r="C4" s="494"/>
      <c r="D4" s="494"/>
      <c r="E4" s="494"/>
      <c r="F4" s="494"/>
      <c r="G4" s="494"/>
      <c r="H4" s="495"/>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row>
    <row r="5" spans="1:40" ht="22.9" customHeight="1">
      <c r="A5" s="494"/>
      <c r="B5" s="1564" t="s">
        <v>867</v>
      </c>
      <c r="C5" s="1564"/>
      <c r="D5" s="1564"/>
      <c r="E5" s="1564"/>
      <c r="F5" s="1564"/>
      <c r="G5" s="1564"/>
      <c r="H5" s="1564"/>
      <c r="I5" s="1564"/>
      <c r="J5" s="1564"/>
      <c r="K5" s="1564"/>
      <c r="L5" s="1564"/>
      <c r="M5" s="1564"/>
      <c r="N5" s="1564"/>
      <c r="O5" s="1564"/>
      <c r="P5" s="1564"/>
      <c r="Q5" s="1564"/>
      <c r="R5" s="1564"/>
      <c r="S5" s="1564"/>
      <c r="T5" s="1564"/>
      <c r="U5" s="1564"/>
      <c r="V5" s="1564"/>
      <c r="W5" s="1564"/>
      <c r="X5" s="1564"/>
      <c r="Y5" s="1564"/>
      <c r="Z5" s="1564"/>
      <c r="AA5" s="1564"/>
      <c r="AB5" s="1564"/>
      <c r="AC5" s="621"/>
      <c r="AD5" s="621"/>
      <c r="AE5" s="621"/>
      <c r="AF5" s="621"/>
      <c r="AG5" s="621"/>
      <c r="AH5" s="621"/>
      <c r="AI5" s="621"/>
      <c r="AJ5" s="621"/>
    </row>
    <row r="6" spans="1:40" ht="2.4500000000000002" customHeight="1" thickBot="1">
      <c r="B6" s="383"/>
      <c r="C6" s="383"/>
      <c r="D6" s="383"/>
      <c r="E6" s="383"/>
      <c r="F6" s="383"/>
      <c r="G6" s="383"/>
      <c r="H6" s="383"/>
      <c r="I6" s="383"/>
      <c r="J6" s="383"/>
      <c r="K6" s="383"/>
      <c r="L6" s="383"/>
      <c r="M6" s="383"/>
      <c r="N6" s="384"/>
      <c r="O6" s="384"/>
      <c r="P6" s="384"/>
      <c r="Q6" s="384"/>
      <c r="R6" s="384"/>
      <c r="S6" s="384"/>
      <c r="T6" s="384"/>
      <c r="U6" s="384"/>
      <c r="V6" s="384"/>
      <c r="W6" s="384"/>
      <c r="X6" s="384"/>
      <c r="Y6" s="384"/>
      <c r="Z6" s="383"/>
      <c r="AA6" s="383"/>
      <c r="AB6" s="383"/>
      <c r="AC6" s="383"/>
      <c r="AD6" s="383"/>
      <c r="AE6" s="383"/>
      <c r="AF6" s="383"/>
      <c r="AG6" s="384"/>
      <c r="AH6" s="383"/>
      <c r="AI6" s="383"/>
      <c r="AJ6" s="383"/>
    </row>
    <row r="7" spans="1:40" ht="14.45" customHeight="1">
      <c r="A7" s="1553" t="s">
        <v>671</v>
      </c>
      <c r="B7" s="1553" t="s">
        <v>458</v>
      </c>
      <c r="C7" s="1553" t="s">
        <v>670</v>
      </c>
      <c r="D7" s="1553" t="s">
        <v>375</v>
      </c>
      <c r="E7" s="1556" t="s">
        <v>516</v>
      </c>
      <c r="F7" s="1556" t="s">
        <v>347</v>
      </c>
      <c r="G7" s="1141"/>
      <c r="H7" s="1556" t="s">
        <v>457</v>
      </c>
      <c r="I7" s="1556" t="s">
        <v>456</v>
      </c>
      <c r="J7" s="1556" t="s">
        <v>426</v>
      </c>
      <c r="K7" s="1556" t="s">
        <v>371</v>
      </c>
      <c r="L7" s="1837" t="s">
        <v>348</v>
      </c>
      <c r="M7" s="1838" t="s">
        <v>374</v>
      </c>
      <c r="N7" s="1840" t="s">
        <v>277</v>
      </c>
      <c r="O7" s="1841"/>
      <c r="P7" s="1841"/>
      <c r="Q7" s="1841"/>
      <c r="R7" s="1841"/>
      <c r="S7" s="1841"/>
      <c r="T7" s="1841"/>
      <c r="U7" s="1842"/>
      <c r="V7" s="1839" t="s">
        <v>693</v>
      </c>
      <c r="W7" s="1572" t="s">
        <v>658</v>
      </c>
      <c r="X7" s="1573"/>
      <c r="Y7" s="1574"/>
      <c r="Z7" s="1855" t="s">
        <v>868</v>
      </c>
      <c r="AA7" s="1856"/>
      <c r="AB7" s="1856"/>
      <c r="AC7" s="1857"/>
      <c r="AD7" s="1849" t="s">
        <v>872</v>
      </c>
      <c r="AE7" s="1850"/>
      <c r="AF7" s="1861" t="s">
        <v>871</v>
      </c>
      <c r="AG7" s="1846" t="s">
        <v>695</v>
      </c>
      <c r="AH7" s="1847"/>
      <c r="AI7" s="1847"/>
      <c r="AJ7" s="1848"/>
      <c r="AL7" s="1547" t="s">
        <v>690</v>
      </c>
      <c r="AM7" s="1548"/>
      <c r="AN7" s="1549"/>
    </row>
    <row r="8" spans="1:40" ht="44.25" customHeight="1">
      <c r="A8" s="1554"/>
      <c r="B8" s="1554"/>
      <c r="C8" s="1554"/>
      <c r="D8" s="1554"/>
      <c r="E8" s="1557"/>
      <c r="F8" s="1557"/>
      <c r="G8" s="1142" t="s">
        <v>518</v>
      </c>
      <c r="H8" s="1557"/>
      <c r="I8" s="1557"/>
      <c r="J8" s="1557"/>
      <c r="K8" s="1557"/>
      <c r="L8" s="1837"/>
      <c r="M8" s="1838"/>
      <c r="N8" s="1843"/>
      <c r="O8" s="1844"/>
      <c r="P8" s="1844"/>
      <c r="Q8" s="1844"/>
      <c r="R8" s="1844"/>
      <c r="S8" s="1844"/>
      <c r="T8" s="1844"/>
      <c r="U8" s="1845"/>
      <c r="V8" s="1839"/>
      <c r="W8" s="1570" t="s">
        <v>349</v>
      </c>
      <c r="X8" s="1565" t="s">
        <v>684</v>
      </c>
      <c r="Y8" s="1565" t="s">
        <v>704</v>
      </c>
      <c r="Z8" s="1858"/>
      <c r="AA8" s="1859"/>
      <c r="AB8" s="1859"/>
      <c r="AC8" s="1860"/>
      <c r="AD8" s="1851"/>
      <c r="AE8" s="1852"/>
      <c r="AF8" s="1862"/>
      <c r="AG8" s="1570" t="s">
        <v>349</v>
      </c>
      <c r="AH8" s="1565" t="s">
        <v>684</v>
      </c>
      <c r="AI8" s="1565" t="s">
        <v>704</v>
      </c>
      <c r="AJ8" s="1566" t="s">
        <v>705</v>
      </c>
      <c r="AL8" s="1550"/>
      <c r="AM8" s="1551"/>
      <c r="AN8" s="1552"/>
    </row>
    <row r="9" spans="1:40" ht="63.75">
      <c r="A9" s="1555"/>
      <c r="B9" s="1555"/>
      <c r="C9" s="1555"/>
      <c r="D9" s="1555"/>
      <c r="E9" s="1558"/>
      <c r="F9" s="1558"/>
      <c r="G9" s="1143"/>
      <c r="H9" s="1558"/>
      <c r="I9" s="1558"/>
      <c r="J9" s="1558"/>
      <c r="K9" s="1558"/>
      <c r="L9" s="1837"/>
      <c r="M9" s="1838"/>
      <c r="N9" s="1145" t="s">
        <v>152</v>
      </c>
      <c r="O9" s="492">
        <v>2019</v>
      </c>
      <c r="P9" s="492">
        <v>2020</v>
      </c>
      <c r="Q9" s="492">
        <v>2021</v>
      </c>
      <c r="R9" s="492">
        <v>2022</v>
      </c>
      <c r="S9" s="492">
        <v>2023</v>
      </c>
      <c r="T9" s="492">
        <v>2024</v>
      </c>
      <c r="U9" s="493">
        <v>2025</v>
      </c>
      <c r="V9" s="1839"/>
      <c r="W9" s="1570"/>
      <c r="X9" s="1565"/>
      <c r="Y9" s="1565"/>
      <c r="Z9" s="1146" t="s">
        <v>349</v>
      </c>
      <c r="AA9" s="1144" t="s">
        <v>684</v>
      </c>
      <c r="AB9" s="1144" t="s">
        <v>818</v>
      </c>
      <c r="AC9" s="1121" t="s">
        <v>705</v>
      </c>
      <c r="AD9" s="1853"/>
      <c r="AE9" s="1854"/>
      <c r="AF9" s="1863"/>
      <c r="AG9" s="1570"/>
      <c r="AH9" s="1565"/>
      <c r="AI9" s="1565"/>
      <c r="AJ9" s="1566"/>
      <c r="AL9" s="1146" t="s">
        <v>349</v>
      </c>
      <c r="AM9" s="1144" t="s">
        <v>684</v>
      </c>
      <c r="AN9" s="679" t="s">
        <v>703</v>
      </c>
    </row>
    <row r="10" spans="1:40" s="572" customFormat="1" ht="35.1" customHeight="1">
      <c r="A10" s="559"/>
      <c r="B10" s="576" t="s">
        <v>383</v>
      </c>
      <c r="C10" s="576"/>
      <c r="D10" s="576"/>
      <c r="E10" s="518" t="s">
        <v>608</v>
      </c>
      <c r="F10" s="570"/>
      <c r="G10" s="577"/>
      <c r="H10" s="578"/>
      <c r="I10" s="577"/>
      <c r="J10" s="579"/>
      <c r="K10" s="579"/>
      <c r="L10" s="580"/>
      <c r="M10" s="581"/>
      <c r="N10" s="581"/>
      <c r="O10" s="581"/>
      <c r="P10" s="581"/>
      <c r="Q10" s="581"/>
      <c r="R10" s="581"/>
      <c r="S10" s="581"/>
      <c r="T10" s="581"/>
      <c r="U10" s="582"/>
      <c r="V10" s="582">
        <f>V21+V40+V56</f>
        <v>100</v>
      </c>
      <c r="W10" s="609"/>
      <c r="X10" s="610">
        <f>X21+X40+X56</f>
        <v>2.0031597222222222</v>
      </c>
      <c r="Y10" s="610">
        <f>Y21+Y40+Y56</f>
        <v>11.8291</v>
      </c>
      <c r="Z10" s="609"/>
      <c r="AA10" s="581">
        <f>AA21+AA40+AA56</f>
        <v>142.63500086419756</v>
      </c>
      <c r="AB10" s="581">
        <f>AB21+AB40+AB56</f>
        <v>4.46942795</v>
      </c>
      <c r="AC10" s="570"/>
      <c r="AD10" s="581">
        <f>AD21+AD40+AD56</f>
        <v>554.43147993299726</v>
      </c>
      <c r="AE10" s="581">
        <f>AE21+AE40+AE56</f>
        <v>10.450390876900585</v>
      </c>
      <c r="AF10" s="581">
        <f>AF21+AF40+AF56</f>
        <v>35.893168320702422</v>
      </c>
      <c r="AG10" s="625"/>
      <c r="AH10" s="581">
        <f>AH21+AH40+AH56</f>
        <v>2.9077422416666669</v>
      </c>
      <c r="AI10" s="581">
        <f>AI21+AI40+AI56</f>
        <v>7.2822799638888895</v>
      </c>
      <c r="AJ10" s="570"/>
      <c r="AL10" s="571"/>
      <c r="AM10" s="581">
        <f>AM21+AM40+AM56</f>
        <v>147.54590282808647</v>
      </c>
      <c r="AN10" s="610">
        <f>AN21+AN40+AN56</f>
        <v>23.58080791388889</v>
      </c>
    </row>
    <row r="11" spans="1:40" ht="57" customHeight="1">
      <c r="A11" s="496">
        <v>1</v>
      </c>
      <c r="B11" s="497" t="s">
        <v>384</v>
      </c>
      <c r="C11" s="497" t="s">
        <v>410</v>
      </c>
      <c r="D11" s="497"/>
      <c r="E11" s="528" t="s">
        <v>610</v>
      </c>
      <c r="F11" s="668"/>
      <c r="G11" s="504"/>
      <c r="H11" s="499" t="s">
        <v>427</v>
      </c>
      <c r="I11" s="499"/>
      <c r="J11" s="390" t="s">
        <v>366</v>
      </c>
      <c r="K11" s="390" t="s">
        <v>229</v>
      </c>
      <c r="L11" s="416" t="s">
        <v>362</v>
      </c>
      <c r="M11" s="500"/>
      <c r="N11" s="632">
        <v>0.15</v>
      </c>
      <c r="O11" s="631"/>
      <c r="P11" s="631"/>
      <c r="Q11" s="631"/>
      <c r="R11" s="631"/>
      <c r="S11" s="631"/>
      <c r="T11" s="631"/>
      <c r="U11" s="502"/>
      <c r="V11" s="502"/>
      <c r="W11" s="603"/>
      <c r="X11" s="500"/>
      <c r="Y11" s="608"/>
      <c r="Z11" s="654"/>
      <c r="AA11" s="657" t="s">
        <v>677</v>
      </c>
      <c r="AB11" s="407"/>
      <c r="AC11" s="397"/>
      <c r="AD11" s="657" t="s">
        <v>677</v>
      </c>
      <c r="AE11" s="407"/>
      <c r="AF11" s="407"/>
      <c r="AG11" s="654">
        <f>P11/2</f>
        <v>0</v>
      </c>
      <c r="AH11" s="657" t="s">
        <v>677</v>
      </c>
      <c r="AI11" s="400" t="e">
        <f t="shared" ref="AI11:AI142" si="0">AH11/AG11</f>
        <v>#VALUE!</v>
      </c>
      <c r="AJ11" s="397"/>
      <c r="AL11" s="611"/>
      <c r="AM11" s="612"/>
      <c r="AN11" s="688"/>
    </row>
    <row r="12" spans="1:40" ht="35.1" customHeight="1">
      <c r="A12" s="496"/>
      <c r="B12" s="497" t="s">
        <v>503</v>
      </c>
      <c r="C12" s="497"/>
      <c r="D12" s="497"/>
      <c r="E12" s="529" t="s">
        <v>422</v>
      </c>
      <c r="F12" s="667"/>
      <c r="G12" s="504"/>
      <c r="H12" s="499"/>
      <c r="I12" s="504"/>
      <c r="J12" s="390" t="s">
        <v>366</v>
      </c>
      <c r="K12" s="390" t="s">
        <v>229</v>
      </c>
      <c r="L12" s="416" t="s">
        <v>432</v>
      </c>
      <c r="M12" s="500">
        <v>2.7</v>
      </c>
      <c r="N12" s="500">
        <f>M12+(M12*$N$11)</f>
        <v>3.1050000000000004</v>
      </c>
      <c r="O12" s="631">
        <v>0</v>
      </c>
      <c r="P12" s="631">
        <f>M12</f>
        <v>2.7</v>
      </c>
      <c r="Q12" s="631">
        <f>M12+(N12-M12)/4</f>
        <v>2.8012500000000005</v>
      </c>
      <c r="R12" s="631">
        <f>Q12+(N12-M12)/4</f>
        <v>2.9025000000000007</v>
      </c>
      <c r="S12" s="631">
        <f>R12+(N12-M12)/4</f>
        <v>3.003750000000001</v>
      </c>
      <c r="T12" s="631">
        <f>S12+(N12-M12)/4</f>
        <v>3.1050000000000013</v>
      </c>
      <c r="U12" s="502"/>
      <c r="V12" s="502"/>
      <c r="W12" s="603"/>
      <c r="X12" s="500"/>
      <c r="Y12" s="608"/>
      <c r="Z12" s="654"/>
      <c r="AA12" s="657"/>
      <c r="AB12" s="407"/>
      <c r="AC12" s="397"/>
      <c r="AD12" s="657"/>
      <c r="AE12" s="407"/>
      <c r="AF12" s="407"/>
      <c r="AG12" s="654">
        <f t="shared" ref="AG12:AG20" si="1">Q12/2</f>
        <v>1.4006250000000002</v>
      </c>
      <c r="AH12" s="617"/>
      <c r="AI12" s="400"/>
      <c r="AJ12" s="397"/>
      <c r="AL12" s="611"/>
      <c r="AM12" s="612"/>
      <c r="AN12" s="688"/>
    </row>
    <row r="13" spans="1:40" ht="35.1" customHeight="1">
      <c r="A13" s="496"/>
      <c r="B13" s="497" t="s">
        <v>504</v>
      </c>
      <c r="C13" s="497"/>
      <c r="D13" s="497"/>
      <c r="E13" s="529" t="s">
        <v>423</v>
      </c>
      <c r="F13" s="667"/>
      <c r="G13" s="504"/>
      <c r="H13" s="499"/>
      <c r="I13" s="504"/>
      <c r="J13" s="390" t="s">
        <v>366</v>
      </c>
      <c r="K13" s="390" t="s">
        <v>229</v>
      </c>
      <c r="L13" s="416" t="s">
        <v>432</v>
      </c>
      <c r="M13" s="500">
        <v>4</v>
      </c>
      <c r="N13" s="500">
        <f>M13+(M13*$N$11)</f>
        <v>4.5999999999999996</v>
      </c>
      <c r="O13" s="631">
        <v>0</v>
      </c>
      <c r="P13" s="631">
        <f>M13</f>
        <v>4</v>
      </c>
      <c r="Q13" s="631">
        <f>M13+(N13-M13)/4</f>
        <v>4.1500000000000004</v>
      </c>
      <c r="R13" s="631">
        <f>Q13+(N13-M13)/4</f>
        <v>4.3000000000000007</v>
      </c>
      <c r="S13" s="631">
        <f>R13+(N13-M13)/4</f>
        <v>4.4500000000000011</v>
      </c>
      <c r="T13" s="631">
        <f>S13+(N13-M13)/4</f>
        <v>4.6000000000000014</v>
      </c>
      <c r="U13" s="502"/>
      <c r="V13" s="502"/>
      <c r="W13" s="603"/>
      <c r="X13" s="500"/>
      <c r="Y13" s="608"/>
      <c r="Z13" s="654"/>
      <c r="AA13" s="617"/>
      <c r="AB13" s="407"/>
      <c r="AC13" s="397"/>
      <c r="AD13" s="617"/>
      <c r="AE13" s="407"/>
      <c r="AF13" s="407"/>
      <c r="AG13" s="654">
        <f t="shared" si="1"/>
        <v>2.0750000000000002</v>
      </c>
      <c r="AH13" s="617"/>
      <c r="AI13" s="400"/>
      <c r="AJ13" s="397"/>
      <c r="AL13" s="611"/>
      <c r="AM13" s="612"/>
      <c r="AN13" s="688"/>
    </row>
    <row r="14" spans="1:40" ht="35.1" customHeight="1">
      <c r="A14" s="496"/>
      <c r="B14" s="497" t="s">
        <v>505</v>
      </c>
      <c r="C14" s="497"/>
      <c r="D14" s="497"/>
      <c r="E14" s="529" t="s">
        <v>424</v>
      </c>
      <c r="F14" s="667"/>
      <c r="G14" s="504"/>
      <c r="H14" s="499"/>
      <c r="I14" s="504"/>
      <c r="J14" s="390" t="s">
        <v>366</v>
      </c>
      <c r="K14" s="390" t="s">
        <v>229</v>
      </c>
      <c r="L14" s="416" t="s">
        <v>432</v>
      </c>
      <c r="M14" s="500">
        <v>20</v>
      </c>
      <c r="N14" s="500">
        <f>M14+(M14*$N$11)</f>
        <v>23</v>
      </c>
      <c r="O14" s="631">
        <v>0</v>
      </c>
      <c r="P14" s="631">
        <f>M14</f>
        <v>20</v>
      </c>
      <c r="Q14" s="631">
        <f>M14+(N14-M14)/4</f>
        <v>20.75</v>
      </c>
      <c r="R14" s="631">
        <f>Q14+(N14-M14)/4</f>
        <v>21.5</v>
      </c>
      <c r="S14" s="631">
        <f>R14+(N14-M14)/4</f>
        <v>22.25</v>
      </c>
      <c r="T14" s="631">
        <f>S14+(N14-M14)/4</f>
        <v>23</v>
      </c>
      <c r="U14" s="502"/>
      <c r="V14" s="502"/>
      <c r="W14" s="603"/>
      <c r="X14" s="500"/>
      <c r="Y14" s="608"/>
      <c r="Z14" s="654"/>
      <c r="AA14" s="617"/>
      <c r="AB14" s="407"/>
      <c r="AC14" s="397"/>
      <c r="AD14" s="617"/>
      <c r="AE14" s="407"/>
      <c r="AF14" s="407"/>
      <c r="AG14" s="654">
        <f t="shared" si="1"/>
        <v>10.375</v>
      </c>
      <c r="AH14" s="617"/>
      <c r="AI14" s="400"/>
      <c r="AJ14" s="397"/>
      <c r="AL14" s="611"/>
      <c r="AM14" s="612"/>
      <c r="AN14" s="688"/>
    </row>
    <row r="15" spans="1:40" ht="35.1" customHeight="1">
      <c r="A15" s="496"/>
      <c r="B15" s="497" t="s">
        <v>505</v>
      </c>
      <c r="C15" s="497"/>
      <c r="D15" s="497"/>
      <c r="E15" s="529" t="s">
        <v>425</v>
      </c>
      <c r="F15" s="667"/>
      <c r="G15" s="504"/>
      <c r="H15" s="499"/>
      <c r="I15" s="504"/>
      <c r="J15" s="390" t="s">
        <v>366</v>
      </c>
      <c r="K15" s="390" t="s">
        <v>229</v>
      </c>
      <c r="L15" s="416" t="s">
        <v>432</v>
      </c>
      <c r="M15" s="500">
        <v>15</v>
      </c>
      <c r="N15" s="500">
        <f>M15+(M15*$N$11)</f>
        <v>17.25</v>
      </c>
      <c r="O15" s="631">
        <v>0</v>
      </c>
      <c r="P15" s="631">
        <f>M15</f>
        <v>15</v>
      </c>
      <c r="Q15" s="631">
        <f>M15+(N15-M15)/4</f>
        <v>15.5625</v>
      </c>
      <c r="R15" s="631">
        <f>Q15+(N15-M15)/4</f>
        <v>16.125</v>
      </c>
      <c r="S15" s="631">
        <f>R15+(N15-M15)/4</f>
        <v>16.6875</v>
      </c>
      <c r="T15" s="631">
        <f>S15+(N15-M15)/4</f>
        <v>17.25</v>
      </c>
      <c r="U15" s="502"/>
      <c r="V15" s="502"/>
      <c r="W15" s="603"/>
      <c r="X15" s="500"/>
      <c r="Y15" s="608"/>
      <c r="Z15" s="654"/>
      <c r="AA15" s="617"/>
      <c r="AB15" s="407"/>
      <c r="AC15" s="397"/>
      <c r="AD15" s="617"/>
      <c r="AE15" s="407"/>
      <c r="AF15" s="407"/>
      <c r="AG15" s="654">
        <f t="shared" si="1"/>
        <v>7.78125</v>
      </c>
      <c r="AH15" s="617"/>
      <c r="AI15" s="400"/>
      <c r="AJ15" s="397"/>
      <c r="AL15" s="611"/>
      <c r="AM15" s="612"/>
      <c r="AN15" s="688"/>
    </row>
    <row r="16" spans="1:40" ht="59.25" customHeight="1">
      <c r="A16" s="496">
        <v>2</v>
      </c>
      <c r="B16" s="497" t="s">
        <v>385</v>
      </c>
      <c r="C16" s="497" t="s">
        <v>411</v>
      </c>
      <c r="D16" s="497"/>
      <c r="E16" s="531" t="s">
        <v>381</v>
      </c>
      <c r="F16" s="667" t="s">
        <v>696</v>
      </c>
      <c r="G16" s="504"/>
      <c r="H16" s="499" t="s">
        <v>428</v>
      </c>
      <c r="I16" s="504"/>
      <c r="J16" s="390"/>
      <c r="K16" s="390"/>
      <c r="L16" s="416" t="s">
        <v>352</v>
      </c>
      <c r="M16" s="505">
        <v>0</v>
      </c>
      <c r="N16" s="501">
        <v>240000</v>
      </c>
      <c r="O16" s="505">
        <v>0</v>
      </c>
      <c r="P16" s="505">
        <v>0</v>
      </c>
      <c r="Q16" s="505">
        <v>0</v>
      </c>
      <c r="R16" s="505">
        <v>80000</v>
      </c>
      <c r="S16" s="505">
        <v>80000</v>
      </c>
      <c r="T16" s="505">
        <v>80000</v>
      </c>
      <c r="U16" s="502"/>
      <c r="V16" s="502"/>
      <c r="W16" s="603"/>
      <c r="X16" s="500"/>
      <c r="Y16" s="608"/>
      <c r="Z16" s="654"/>
      <c r="AA16" s="657" t="s">
        <v>677</v>
      </c>
      <c r="AB16" s="407"/>
      <c r="AC16" s="397"/>
      <c r="AD16" s="657" t="s">
        <v>677</v>
      </c>
      <c r="AE16" s="407"/>
      <c r="AF16" s="407"/>
      <c r="AG16" s="654">
        <f t="shared" si="1"/>
        <v>0</v>
      </c>
      <c r="AH16" s="657" t="s">
        <v>677</v>
      </c>
      <c r="AI16" s="400" t="e">
        <f t="shared" si="0"/>
        <v>#VALUE!</v>
      </c>
      <c r="AJ16" s="397"/>
      <c r="AL16" s="611"/>
      <c r="AM16" s="612"/>
      <c r="AN16" s="688"/>
    </row>
    <row r="17" spans="1:42" ht="87.75" customHeight="1">
      <c r="A17" s="496">
        <v>3</v>
      </c>
      <c r="B17" s="497" t="s">
        <v>386</v>
      </c>
      <c r="C17" s="497" t="s">
        <v>412</v>
      </c>
      <c r="D17" s="497"/>
      <c r="E17" s="528" t="s">
        <v>382</v>
      </c>
      <c r="F17" s="668"/>
      <c r="G17" s="504"/>
      <c r="H17" s="499" t="s">
        <v>429</v>
      </c>
      <c r="I17" s="504"/>
      <c r="J17" s="390" t="s">
        <v>366</v>
      </c>
      <c r="K17" s="390" t="s">
        <v>229</v>
      </c>
      <c r="L17" s="416" t="s">
        <v>362</v>
      </c>
      <c r="M17" s="505">
        <v>0</v>
      </c>
      <c r="N17" s="501">
        <v>50</v>
      </c>
      <c r="O17" s="505">
        <v>0</v>
      </c>
      <c r="P17" s="505">
        <v>0</v>
      </c>
      <c r="Q17" s="505">
        <v>0</v>
      </c>
      <c r="R17" s="505">
        <v>5</v>
      </c>
      <c r="S17" s="505">
        <v>20</v>
      </c>
      <c r="T17" s="505">
        <v>25</v>
      </c>
      <c r="U17" s="502"/>
      <c r="V17" s="502"/>
      <c r="W17" s="603"/>
      <c r="X17" s="500"/>
      <c r="Y17" s="608"/>
      <c r="Z17" s="654"/>
      <c r="AA17" s="657" t="s">
        <v>677</v>
      </c>
      <c r="AB17" s="407"/>
      <c r="AC17" s="397"/>
      <c r="AD17" s="657" t="s">
        <v>677</v>
      </c>
      <c r="AE17" s="407"/>
      <c r="AF17" s="407"/>
      <c r="AG17" s="654">
        <f t="shared" si="1"/>
        <v>0</v>
      </c>
      <c r="AH17" s="657" t="s">
        <v>677</v>
      </c>
      <c r="AI17" s="400" t="e">
        <f t="shared" si="0"/>
        <v>#VALUE!</v>
      </c>
      <c r="AJ17" s="397"/>
      <c r="AL17" s="611"/>
      <c r="AM17" s="612"/>
      <c r="AN17" s="688"/>
    </row>
    <row r="18" spans="1:42" ht="35.1" customHeight="1">
      <c r="A18" s="496"/>
      <c r="B18" s="497" t="s">
        <v>506</v>
      </c>
      <c r="C18" s="497"/>
      <c r="D18" s="497"/>
      <c r="E18" s="529" t="s">
        <v>697</v>
      </c>
      <c r="F18" s="667"/>
      <c r="G18" s="504"/>
      <c r="H18" s="499"/>
      <c r="I18" s="504"/>
      <c r="J18" s="390" t="s">
        <v>366</v>
      </c>
      <c r="K18" s="390" t="s">
        <v>229</v>
      </c>
      <c r="L18" s="416" t="s">
        <v>362</v>
      </c>
      <c r="M18" s="505">
        <v>0</v>
      </c>
      <c r="N18" s="501">
        <v>10</v>
      </c>
      <c r="O18" s="505">
        <v>0</v>
      </c>
      <c r="P18" s="505"/>
      <c r="Q18" s="631">
        <f>M18+(N18-M18)/4</f>
        <v>2.5</v>
      </c>
      <c r="R18" s="631">
        <f>Q18+(N18-M18)/4</f>
        <v>5</v>
      </c>
      <c r="S18" s="631">
        <f>R18+(N18-M18)/4</f>
        <v>7.5</v>
      </c>
      <c r="T18" s="631">
        <f>S18+(N18-M18)/4</f>
        <v>10</v>
      </c>
      <c r="U18" s="502"/>
      <c r="V18" s="502"/>
      <c r="W18" s="603"/>
      <c r="X18" s="500"/>
      <c r="Y18" s="608"/>
      <c r="Z18" s="654"/>
      <c r="AA18" s="617"/>
      <c r="AB18" s="407"/>
      <c r="AC18" s="397"/>
      <c r="AD18" s="617"/>
      <c r="AE18" s="407"/>
      <c r="AF18" s="407"/>
      <c r="AG18" s="654">
        <f t="shared" si="1"/>
        <v>1.25</v>
      </c>
      <c r="AH18" s="617"/>
      <c r="AI18" s="400"/>
      <c r="AJ18" s="397"/>
      <c r="AL18" s="611"/>
      <c r="AM18" s="612"/>
      <c r="AN18" s="688"/>
    </row>
    <row r="19" spans="1:42" ht="35.1" customHeight="1">
      <c r="A19" s="496"/>
      <c r="B19" s="497" t="s">
        <v>507</v>
      </c>
      <c r="C19" s="497"/>
      <c r="D19" s="497"/>
      <c r="E19" s="529" t="s">
        <v>430</v>
      </c>
      <c r="F19" s="667" t="s">
        <v>698</v>
      </c>
      <c r="G19" s="504"/>
      <c r="H19" s="499"/>
      <c r="I19" s="504"/>
      <c r="J19" s="390" t="s">
        <v>366</v>
      </c>
      <c r="K19" s="390" t="s">
        <v>229</v>
      </c>
      <c r="L19" s="416" t="s">
        <v>362</v>
      </c>
      <c r="M19" s="505">
        <v>0</v>
      </c>
      <c r="N19" s="501">
        <v>20</v>
      </c>
      <c r="O19" s="505">
        <v>0</v>
      </c>
      <c r="P19" s="505"/>
      <c r="Q19" s="631">
        <f>M19+(N19-M19)/4</f>
        <v>5</v>
      </c>
      <c r="R19" s="631">
        <f>Q19+(N19-M19)/4</f>
        <v>10</v>
      </c>
      <c r="S19" s="631">
        <f>R19+(N19-M19)/4</f>
        <v>15</v>
      </c>
      <c r="T19" s="631">
        <f>S19+(N19-M19)/4</f>
        <v>20</v>
      </c>
      <c r="U19" s="502"/>
      <c r="V19" s="502"/>
      <c r="W19" s="603"/>
      <c r="X19" s="500"/>
      <c r="Y19" s="608"/>
      <c r="Z19" s="654"/>
      <c r="AA19" s="617"/>
      <c r="AB19" s="407"/>
      <c r="AC19" s="397"/>
      <c r="AD19" s="617"/>
      <c r="AE19" s="407"/>
      <c r="AF19" s="407"/>
      <c r="AG19" s="654">
        <f t="shared" si="1"/>
        <v>2.5</v>
      </c>
      <c r="AH19" s="617"/>
      <c r="AI19" s="400"/>
      <c r="AJ19" s="397"/>
      <c r="AL19" s="611"/>
      <c r="AM19" s="612"/>
      <c r="AN19" s="688"/>
    </row>
    <row r="20" spans="1:42" ht="35.1" customHeight="1">
      <c r="A20" s="496"/>
      <c r="B20" s="497" t="s">
        <v>508</v>
      </c>
      <c r="C20" s="497"/>
      <c r="D20" s="497"/>
      <c r="E20" s="529" t="s">
        <v>431</v>
      </c>
      <c r="F20" s="667"/>
      <c r="G20" s="504"/>
      <c r="H20" s="499"/>
      <c r="I20" s="504"/>
      <c r="J20" s="390" t="s">
        <v>366</v>
      </c>
      <c r="K20" s="390" t="s">
        <v>229</v>
      </c>
      <c r="L20" s="416" t="s">
        <v>362</v>
      </c>
      <c r="M20" s="505">
        <v>0</v>
      </c>
      <c r="N20" s="501">
        <v>10</v>
      </c>
      <c r="O20" s="505">
        <v>0</v>
      </c>
      <c r="P20" s="505"/>
      <c r="Q20" s="631">
        <f>M20+(N20-M20)/4</f>
        <v>2.5</v>
      </c>
      <c r="R20" s="631">
        <f>Q20+(N20-M20)/4</f>
        <v>5</v>
      </c>
      <c r="S20" s="631">
        <f>R20+(N20-M20)/4</f>
        <v>7.5</v>
      </c>
      <c r="T20" s="631">
        <f>S20+(N20-M20)/4</f>
        <v>10</v>
      </c>
      <c r="U20" s="502"/>
      <c r="V20" s="502"/>
      <c r="W20" s="603"/>
      <c r="X20" s="500"/>
      <c r="Y20" s="608"/>
      <c r="Z20" s="654"/>
      <c r="AA20" s="617"/>
      <c r="AB20" s="407"/>
      <c r="AC20" s="397"/>
      <c r="AD20" s="617"/>
      <c r="AE20" s="407"/>
      <c r="AF20" s="407"/>
      <c r="AG20" s="654">
        <f t="shared" si="1"/>
        <v>1.25</v>
      </c>
      <c r="AH20" s="617"/>
      <c r="AI20" s="400"/>
      <c r="AJ20" s="397"/>
      <c r="AL20" s="611"/>
      <c r="AM20" s="612"/>
      <c r="AN20" s="688"/>
    </row>
    <row r="21" spans="1:42" s="572" customFormat="1" ht="35.1" customHeight="1">
      <c r="A21" s="559"/>
      <c r="B21" s="560" t="s">
        <v>387</v>
      </c>
      <c r="C21" s="560">
        <v>1</v>
      </c>
      <c r="D21" s="560"/>
      <c r="E21" s="561" t="s">
        <v>390</v>
      </c>
      <c r="F21" s="562"/>
      <c r="G21" s="563"/>
      <c r="H21" s="564"/>
      <c r="I21" s="563"/>
      <c r="J21" s="565"/>
      <c r="K21" s="565"/>
      <c r="L21" s="566"/>
      <c r="M21" s="567"/>
      <c r="N21" s="568"/>
      <c r="O21" s="567"/>
      <c r="P21" s="567"/>
      <c r="Q21" s="567"/>
      <c r="R21" s="567"/>
      <c r="S21" s="567"/>
      <c r="T21" s="567"/>
      <c r="U21" s="569"/>
      <c r="V21" s="569">
        <f>'DMF PI Links Physical Prog.S1'!Q21</f>
        <v>65</v>
      </c>
      <c r="W21" s="662"/>
      <c r="X21" s="614"/>
      <c r="Y21" s="569">
        <f>'3. DMF Progress'!F17</f>
        <v>7.4775999999999998</v>
      </c>
      <c r="Z21" s="627"/>
      <c r="AA21" s="569">
        <f>'3. DMF Progress'!T17</f>
        <v>30.787377407407412</v>
      </c>
      <c r="AB21" s="569">
        <f>'3. DMF Progress'!AS17</f>
        <v>1.7910672416666669</v>
      </c>
      <c r="AC21" s="562"/>
      <c r="AD21" s="569">
        <f>'3. DMF Progress'!U17</f>
        <v>188.05562285047617</v>
      </c>
      <c r="AE21" s="569">
        <f>'3. DMF Progress'!AT17</f>
        <v>4.7531049638888891</v>
      </c>
      <c r="AF21" s="569">
        <f>'3. DMF Progress'!AU17</f>
        <v>21.276270931082536</v>
      </c>
      <c r="AG21" s="627"/>
      <c r="AH21" s="686">
        <f>'3. DMF Progress'!AS17</f>
        <v>1.7910672416666669</v>
      </c>
      <c r="AI21" s="686">
        <f>'3. DMF Progress'!AT17</f>
        <v>4.7531049638888891</v>
      </c>
      <c r="AJ21" s="562"/>
      <c r="AL21" s="687"/>
      <c r="AM21" s="689">
        <f>X21+AA21+AH21</f>
        <v>32.578444649074079</v>
      </c>
      <c r="AN21" s="689">
        <f>Y21+AB21+AI21</f>
        <v>14.021772205555555</v>
      </c>
      <c r="AP21" s="1122"/>
    </row>
    <row r="22" spans="1:42" ht="60">
      <c r="A22" s="496">
        <v>4</v>
      </c>
      <c r="B22" s="497" t="s">
        <v>392</v>
      </c>
      <c r="C22" s="497" t="s">
        <v>416</v>
      </c>
      <c r="D22" s="497"/>
      <c r="E22" s="527" t="s">
        <v>579</v>
      </c>
      <c r="F22" s="668" t="s">
        <v>679</v>
      </c>
      <c r="G22" s="504"/>
      <c r="H22" s="499" t="s">
        <v>660</v>
      </c>
      <c r="I22" s="504"/>
      <c r="J22" s="390" t="s">
        <v>365</v>
      </c>
      <c r="K22" s="390" t="s">
        <v>230</v>
      </c>
      <c r="L22" s="416" t="s">
        <v>435</v>
      </c>
      <c r="M22" s="505">
        <v>0</v>
      </c>
      <c r="N22" s="501">
        <v>27</v>
      </c>
      <c r="O22" s="505">
        <v>0</v>
      </c>
      <c r="P22" s="500">
        <f>'Output 1'!I9</f>
        <v>10</v>
      </c>
      <c r="Q22" s="500">
        <f>'Output 1'!M9</f>
        <v>9</v>
      </c>
      <c r="R22" s="500"/>
      <c r="S22" s="500"/>
      <c r="T22" s="500"/>
      <c r="U22" s="502"/>
      <c r="V22" s="502">
        <f>'DMF PI Links Physical Prog.S1'!Q22</f>
        <v>15</v>
      </c>
      <c r="W22" s="603">
        <f>P22</f>
        <v>10</v>
      </c>
      <c r="X22" s="597">
        <f>'3. DMF Progress'!E9</f>
        <v>10.06</v>
      </c>
      <c r="Y22" s="602">
        <f>'3. DMF Progress'!F9</f>
        <v>1.5090000000000001</v>
      </c>
      <c r="Z22" s="654">
        <f t="shared" ref="Z22:Z28" si="2">Q22/4</f>
        <v>2.25</v>
      </c>
      <c r="AA22" s="617">
        <f>'3. DMF Progress'!T9</f>
        <v>0.18518518518518517</v>
      </c>
      <c r="AB22" s="740">
        <f>'3. DMF Progress'!AS9</f>
        <v>0</v>
      </c>
      <c r="AC22" s="397"/>
      <c r="AD22" s="617">
        <f>'3. DMF Progress'!U9</f>
        <v>30.852330634920634</v>
      </c>
      <c r="AE22" s="740">
        <f>'3. DMF Progress'!AT9</f>
        <v>2.7777777777777776E-2</v>
      </c>
      <c r="AF22" s="740">
        <f>'3. DMF Progress'!AU9</f>
        <v>4.6278495952380947</v>
      </c>
      <c r="AG22" s="654">
        <f t="shared" ref="AG22:AG39" si="3">Q22/2</f>
        <v>4.5</v>
      </c>
      <c r="AH22" s="617"/>
      <c r="AI22" s="400">
        <f t="shared" si="0"/>
        <v>0</v>
      </c>
      <c r="AJ22" s="397"/>
      <c r="AL22" s="611">
        <f>W22+Z22+AG22</f>
        <v>16.75</v>
      </c>
      <c r="AM22" s="612">
        <f>X22+AA22+AH22</f>
        <v>10.245185185185186</v>
      </c>
      <c r="AN22" s="688">
        <f>Y22+AB22+AI22</f>
        <v>1.5090000000000001</v>
      </c>
    </row>
    <row r="23" spans="1:42" ht="35.1" customHeight="1">
      <c r="A23" s="496"/>
      <c r="B23" s="497" t="s">
        <v>479</v>
      </c>
      <c r="C23" s="497"/>
      <c r="D23" s="497"/>
      <c r="E23" s="529" t="s">
        <v>461</v>
      </c>
      <c r="F23" s="667"/>
      <c r="G23" s="504"/>
      <c r="H23" s="499"/>
      <c r="I23" s="504"/>
      <c r="J23" s="390" t="s">
        <v>365</v>
      </c>
      <c r="K23" s="390" t="s">
        <v>230</v>
      </c>
      <c r="L23" s="416" t="s">
        <v>462</v>
      </c>
      <c r="M23" s="505">
        <v>0</v>
      </c>
      <c r="N23" s="501">
        <v>27</v>
      </c>
      <c r="O23" s="505">
        <v>0</v>
      </c>
      <c r="P23" s="500">
        <f>'Output 1'!I9</f>
        <v>10</v>
      </c>
      <c r="Q23" s="500">
        <f>'Output 1'!M9</f>
        <v>9</v>
      </c>
      <c r="R23" s="500">
        <v>8</v>
      </c>
      <c r="S23" s="500"/>
      <c r="T23" s="500"/>
      <c r="U23" s="502"/>
      <c r="V23" s="502"/>
      <c r="W23" s="603">
        <f>'Output 1'!I9</f>
        <v>10</v>
      </c>
      <c r="X23" s="597">
        <f>'Output 1'!J9</f>
        <v>17.1936</v>
      </c>
      <c r="Y23" s="602">
        <f>'3. DMF Progress'!F10</f>
        <v>0.20649999999999999</v>
      </c>
      <c r="Z23" s="654">
        <f t="shared" si="2"/>
        <v>2.25</v>
      </c>
      <c r="AA23" s="617">
        <f>'3. DMF Progress'!T9</f>
        <v>0.18518518518518517</v>
      </c>
      <c r="AB23" s="740">
        <f>'3. DMF Progress'!AS9</f>
        <v>0</v>
      </c>
      <c r="AC23" s="397"/>
      <c r="AD23" s="617">
        <f>'3. DMF Progress'!U9</f>
        <v>30.852330634920634</v>
      </c>
      <c r="AE23" s="740">
        <f>'3. DMF Progress'!AT9</f>
        <v>2.7777777777777776E-2</v>
      </c>
      <c r="AF23" s="740">
        <f>'3. DMF Progress'!AU9</f>
        <v>4.6278495952380947</v>
      </c>
      <c r="AG23" s="654">
        <f t="shared" si="3"/>
        <v>4.5</v>
      </c>
      <c r="AH23" s="617"/>
      <c r="AI23" s="400"/>
      <c r="AJ23" s="397"/>
      <c r="AL23" s="611"/>
      <c r="AM23" s="612"/>
      <c r="AN23" s="613"/>
    </row>
    <row r="24" spans="1:42" ht="35.1" customHeight="1">
      <c r="A24" s="496"/>
      <c r="B24" s="497" t="s">
        <v>480</v>
      </c>
      <c r="C24" s="497"/>
      <c r="D24" s="497"/>
      <c r="E24" s="529" t="s">
        <v>433</v>
      </c>
      <c r="F24" s="667"/>
      <c r="G24" s="504"/>
      <c r="H24" s="499"/>
      <c r="I24" s="504"/>
      <c r="J24" s="390" t="s">
        <v>365</v>
      </c>
      <c r="K24" s="390" t="s">
        <v>230</v>
      </c>
      <c r="L24" s="416" t="s">
        <v>205</v>
      </c>
      <c r="M24" s="505">
        <v>0</v>
      </c>
      <c r="N24" s="501">
        <v>15000</v>
      </c>
      <c r="O24" s="505">
        <v>0</v>
      </c>
      <c r="P24" s="500">
        <f>'Output 1'!I12</f>
        <v>4050</v>
      </c>
      <c r="Q24" s="500">
        <f>'Output 1'!M12</f>
        <v>5333</v>
      </c>
      <c r="R24" s="517">
        <f>N24-(P24+Q24)</f>
        <v>5617</v>
      </c>
      <c r="S24" s="500"/>
      <c r="T24" s="500"/>
      <c r="U24" s="502"/>
      <c r="V24" s="502"/>
      <c r="W24" s="603">
        <f>'Output 1'!I12</f>
        <v>4050</v>
      </c>
      <c r="X24" s="597">
        <f>'Output 1'!J12</f>
        <v>1399.5000000000002</v>
      </c>
      <c r="Y24" s="602">
        <f>'Output 1'!K12</f>
        <v>1.8660000000000001</v>
      </c>
      <c r="Z24" s="654">
        <f t="shared" si="2"/>
        <v>1333.25</v>
      </c>
      <c r="AA24" s="617">
        <f>'Output 1'!CT13</f>
        <v>0</v>
      </c>
      <c r="AB24" s="407">
        <f>'Output 1'!EI13/100</f>
        <v>0</v>
      </c>
      <c r="AC24" s="397"/>
      <c r="AD24" s="617">
        <f>'Output 1'!DB13</f>
        <v>571.42857142857144</v>
      </c>
      <c r="AE24" s="407">
        <f>'Output 1'!EQ13/100</f>
        <v>0</v>
      </c>
      <c r="AF24" s="407">
        <f>'Output 1'!EY13/100</f>
        <v>1.9047619047619049E-2</v>
      </c>
      <c r="AG24" s="654">
        <f t="shared" si="3"/>
        <v>2666.5</v>
      </c>
      <c r="AH24" s="617"/>
      <c r="AI24" s="400"/>
      <c r="AJ24" s="397"/>
      <c r="AL24" s="611"/>
      <c r="AM24" s="612"/>
      <c r="AN24" s="613"/>
    </row>
    <row r="25" spans="1:42" ht="35.1" customHeight="1">
      <c r="A25" s="496"/>
      <c r="B25" s="497" t="s">
        <v>481</v>
      </c>
      <c r="C25" s="497"/>
      <c r="D25" s="660" t="s">
        <v>672</v>
      </c>
      <c r="E25" s="529" t="s">
        <v>434</v>
      </c>
      <c r="F25" s="667"/>
      <c r="G25" s="504"/>
      <c r="H25" s="499"/>
      <c r="I25" s="504"/>
      <c r="J25" s="390" t="s">
        <v>365</v>
      </c>
      <c r="K25" s="390" t="s">
        <v>230</v>
      </c>
      <c r="L25" s="416" t="s">
        <v>436</v>
      </c>
      <c r="M25" s="505">
        <v>0</v>
      </c>
      <c r="N25" s="501">
        <v>25000</v>
      </c>
      <c r="O25" s="505">
        <v>0</v>
      </c>
      <c r="P25" s="517"/>
      <c r="Q25" s="517"/>
      <c r="R25" s="517"/>
      <c r="S25" s="500"/>
      <c r="T25" s="500"/>
      <c r="U25" s="502"/>
      <c r="V25" s="502"/>
      <c r="W25" s="603"/>
      <c r="X25" s="597"/>
      <c r="Y25" s="602"/>
      <c r="Z25" s="654">
        <f t="shared" si="2"/>
        <v>0</v>
      </c>
      <c r="AA25" s="1123" t="s">
        <v>814</v>
      </c>
      <c r="AB25" s="1124" t="s">
        <v>814</v>
      </c>
      <c r="AC25" s="397"/>
      <c r="AD25" s="1123" t="s">
        <v>814</v>
      </c>
      <c r="AE25" s="1124" t="s">
        <v>814</v>
      </c>
      <c r="AF25" s="1124" t="s">
        <v>814</v>
      </c>
      <c r="AG25" s="654">
        <f t="shared" si="3"/>
        <v>0</v>
      </c>
      <c r="AH25" s="617"/>
      <c r="AI25" s="400"/>
      <c r="AJ25" s="397"/>
      <c r="AL25" s="611"/>
      <c r="AM25" s="612"/>
      <c r="AN25" s="613"/>
    </row>
    <row r="26" spans="1:42" ht="30">
      <c r="A26" s="496">
        <v>5</v>
      </c>
      <c r="B26" s="497" t="s">
        <v>393</v>
      </c>
      <c r="C26" s="497" t="s">
        <v>413</v>
      </c>
      <c r="D26" s="497"/>
      <c r="E26" s="528" t="s">
        <v>391</v>
      </c>
      <c r="F26" s="668" t="s">
        <v>679</v>
      </c>
      <c r="G26" s="504"/>
      <c r="H26" s="499" t="s">
        <v>660</v>
      </c>
      <c r="I26" s="504"/>
      <c r="J26" s="390" t="s">
        <v>366</v>
      </c>
      <c r="K26" s="390" t="s">
        <v>229</v>
      </c>
      <c r="L26" s="416" t="s">
        <v>379</v>
      </c>
      <c r="M26" s="505">
        <v>0</v>
      </c>
      <c r="N26" s="501">
        <v>800</v>
      </c>
      <c r="O26" s="505">
        <v>0</v>
      </c>
      <c r="P26" s="505">
        <v>80</v>
      </c>
      <c r="Q26" s="505">
        <v>280</v>
      </c>
      <c r="R26" s="505">
        <v>290</v>
      </c>
      <c r="S26" s="505">
        <v>150</v>
      </c>
      <c r="T26" s="505">
        <v>0</v>
      </c>
      <c r="U26" s="502"/>
      <c r="V26" s="502">
        <f>'DMF PI Links Physical Prog.S1'!Q26</f>
        <v>5</v>
      </c>
      <c r="W26" s="603"/>
      <c r="X26" s="597">
        <f>'3. DMF Progress'!E10</f>
        <v>4.13</v>
      </c>
      <c r="Y26" s="602">
        <f>'3. DMF Progress'!F10</f>
        <v>0.20649999999999999</v>
      </c>
      <c r="Z26" s="654">
        <f t="shared" si="2"/>
        <v>70</v>
      </c>
      <c r="AA26" s="617">
        <f>'3. DMF Progress'!T10</f>
        <v>0</v>
      </c>
      <c r="AB26" s="740">
        <f>'3. DMF Progress'!AS10</f>
        <v>0</v>
      </c>
      <c r="AC26" s="397"/>
      <c r="AD26" s="617">
        <f>'3. DMF Progress'!U10</f>
        <v>1.125</v>
      </c>
      <c r="AE26" s="740">
        <f>'3. DMF Progress'!AT10</f>
        <v>0</v>
      </c>
      <c r="AF26" s="740">
        <f>'3. DMF Progress'!AU10</f>
        <v>5.6249999999999994E-2</v>
      </c>
      <c r="AG26" s="654">
        <f t="shared" si="3"/>
        <v>140</v>
      </c>
      <c r="AH26" s="617"/>
      <c r="AI26" s="400">
        <f t="shared" si="0"/>
        <v>0</v>
      </c>
      <c r="AJ26" s="397"/>
      <c r="AL26" s="611">
        <f t="shared" ref="AL26:AN29" si="4">W26+Z26+AG26</f>
        <v>210</v>
      </c>
      <c r="AM26" s="612">
        <f t="shared" si="4"/>
        <v>4.13</v>
      </c>
      <c r="AN26" s="688">
        <f t="shared" si="4"/>
        <v>0.20649999999999999</v>
      </c>
    </row>
    <row r="27" spans="1:42" ht="45">
      <c r="A27" s="496">
        <v>6</v>
      </c>
      <c r="B27" s="497" t="s">
        <v>394</v>
      </c>
      <c r="C27" s="497" t="s">
        <v>414</v>
      </c>
      <c r="D27" s="497"/>
      <c r="E27" s="531" t="s">
        <v>683</v>
      </c>
      <c r="F27" s="668" t="s">
        <v>679</v>
      </c>
      <c r="G27" s="504"/>
      <c r="H27" s="499" t="s">
        <v>455</v>
      </c>
      <c r="I27" s="504"/>
      <c r="J27" s="390" t="s">
        <v>365</v>
      </c>
      <c r="K27" s="390" t="s">
        <v>231</v>
      </c>
      <c r="L27" s="416" t="s">
        <v>378</v>
      </c>
      <c r="M27" s="505">
        <v>0</v>
      </c>
      <c r="N27" s="501">
        <v>250</v>
      </c>
      <c r="O27" s="505">
        <v>0</v>
      </c>
      <c r="P27" s="505">
        <f>'Output 1'!I23</f>
        <v>67.95</v>
      </c>
      <c r="Q27" s="505">
        <f>'Output 1'!M23</f>
        <v>100.1</v>
      </c>
      <c r="R27" s="505">
        <f>N27-(O27+P27+Q27)</f>
        <v>81.949999999999989</v>
      </c>
      <c r="S27" s="505"/>
      <c r="T27" s="505"/>
      <c r="U27" s="502"/>
      <c r="V27" s="502">
        <f>'DMF PI Links Physical Prog.S1'!Q27</f>
        <v>15</v>
      </c>
      <c r="W27" s="603"/>
      <c r="X27" s="597">
        <f>'3. DMF Progress'!E11</f>
        <v>14.05</v>
      </c>
      <c r="Y27" s="602">
        <f>'3. DMF Progress'!F11</f>
        <v>2.1074999999999999</v>
      </c>
      <c r="Z27" s="654">
        <f t="shared" si="2"/>
        <v>25.024999999999999</v>
      </c>
      <c r="AA27" s="617">
        <f>'3. DMF Progress'!T11</f>
        <v>16.427720000000001</v>
      </c>
      <c r="AB27" s="740">
        <f>'3. DMF Progress'!AS11</f>
        <v>1.3576602000000002</v>
      </c>
      <c r="AC27" s="397"/>
      <c r="AD27" s="617">
        <f>'3. DMF Progress'!U11</f>
        <v>41.830539999999999</v>
      </c>
      <c r="AE27" s="740">
        <f>'3. DMF Progress'!AT11</f>
        <v>3.8218182000000001</v>
      </c>
      <c r="AF27" s="740">
        <f>'3. DMF Progress'!AU11</f>
        <v>7.6322412000000002</v>
      </c>
      <c r="AG27" s="654">
        <f t="shared" si="3"/>
        <v>50.05</v>
      </c>
      <c r="AH27" s="617"/>
      <c r="AI27" s="400">
        <f t="shared" si="0"/>
        <v>0</v>
      </c>
      <c r="AJ27" s="397"/>
      <c r="AL27" s="611">
        <f t="shared" si="4"/>
        <v>75.074999999999989</v>
      </c>
      <c r="AM27" s="612">
        <f t="shared" si="4"/>
        <v>30.477720000000001</v>
      </c>
      <c r="AN27" s="688">
        <f t="shared" si="4"/>
        <v>3.4651602000000001</v>
      </c>
    </row>
    <row r="28" spans="1:42" ht="45">
      <c r="A28" s="496">
        <v>7</v>
      </c>
      <c r="B28" s="497" t="s">
        <v>395</v>
      </c>
      <c r="C28" s="497" t="s">
        <v>415</v>
      </c>
      <c r="D28" s="497"/>
      <c r="E28" s="528" t="s">
        <v>611</v>
      </c>
      <c r="F28" s="668" t="s">
        <v>679</v>
      </c>
      <c r="G28" s="504" t="s">
        <v>519</v>
      </c>
      <c r="H28" s="499" t="s">
        <v>660</v>
      </c>
      <c r="I28" s="504"/>
      <c r="J28" s="390" t="s">
        <v>366</v>
      </c>
      <c r="K28" s="390" t="s">
        <v>229</v>
      </c>
      <c r="L28" s="416" t="s">
        <v>437</v>
      </c>
      <c r="M28" s="501">
        <v>5</v>
      </c>
      <c r="N28" s="501">
        <v>80</v>
      </c>
      <c r="O28" s="505">
        <v>0</v>
      </c>
      <c r="P28" s="505">
        <v>20</v>
      </c>
      <c r="Q28" s="505">
        <v>35</v>
      </c>
      <c r="R28" s="505">
        <v>25</v>
      </c>
      <c r="S28" s="505">
        <v>0</v>
      </c>
      <c r="T28" s="505">
        <v>0</v>
      </c>
      <c r="U28" s="502"/>
      <c r="V28" s="502">
        <f>'DMF PI Links Physical Prog.S1'!Q28</f>
        <v>15</v>
      </c>
      <c r="W28" s="603"/>
      <c r="X28" s="597">
        <f>'3. DMF Progress'!E12</f>
        <v>15.06</v>
      </c>
      <c r="Y28" s="602">
        <f>'3. DMF Progress'!F12</f>
        <v>2.2589999999999999</v>
      </c>
      <c r="Z28" s="654">
        <f t="shared" si="2"/>
        <v>8.75</v>
      </c>
      <c r="AA28" s="617">
        <f>'3. DMF Progress'!T12</f>
        <v>0.40625</v>
      </c>
      <c r="AB28" s="740">
        <f>'3. DMF Progress'!AS12</f>
        <v>6.3984374999999996E-2</v>
      </c>
      <c r="AC28" s="397"/>
      <c r="AD28" s="617">
        <f>'3. DMF Progress'!U12</f>
        <v>40.271875000000001</v>
      </c>
      <c r="AE28" s="740">
        <f>'3. DMF Progress'!AT12</f>
        <v>0.12492187499999999</v>
      </c>
      <c r="AF28" s="740">
        <f>'3. DMF Progress'!AU12</f>
        <v>6.1047656249999998</v>
      </c>
      <c r="AG28" s="654">
        <f t="shared" si="3"/>
        <v>17.5</v>
      </c>
      <c r="AH28" s="617"/>
      <c r="AI28" s="400">
        <f t="shared" si="0"/>
        <v>0</v>
      </c>
      <c r="AJ28" s="397"/>
      <c r="AL28" s="611">
        <f t="shared" si="4"/>
        <v>26.25</v>
      </c>
      <c r="AM28" s="612">
        <f t="shared" si="4"/>
        <v>15.46625</v>
      </c>
      <c r="AN28" s="688">
        <f t="shared" si="4"/>
        <v>2.3229843749999999</v>
      </c>
    </row>
    <row r="29" spans="1:42" ht="73.5" customHeight="1">
      <c r="A29" s="496">
        <v>8</v>
      </c>
      <c r="B29" s="497" t="s">
        <v>396</v>
      </c>
      <c r="C29" s="497" t="s">
        <v>417</v>
      </c>
      <c r="D29" s="497"/>
      <c r="E29" s="528" t="s">
        <v>612</v>
      </c>
      <c r="F29" s="668" t="s">
        <v>679</v>
      </c>
      <c r="G29" s="504" t="s">
        <v>520</v>
      </c>
      <c r="H29" s="499" t="s">
        <v>660</v>
      </c>
      <c r="I29" s="504"/>
      <c r="J29" s="390" t="s">
        <v>366</v>
      </c>
      <c r="K29" s="390" t="s">
        <v>229</v>
      </c>
      <c r="L29" s="416"/>
      <c r="M29" s="505"/>
      <c r="N29" s="501"/>
      <c r="O29" s="505"/>
      <c r="P29" s="505"/>
      <c r="Q29" s="505"/>
      <c r="R29" s="505"/>
      <c r="S29" s="505"/>
      <c r="T29" s="505"/>
      <c r="U29" s="502"/>
      <c r="V29" s="502">
        <f>'DMF PI Links Physical Prog.S1'!Q29</f>
        <v>5</v>
      </c>
      <c r="W29" s="603"/>
      <c r="X29" s="597">
        <f>'3. DMF Progress'!E13</f>
        <v>16</v>
      </c>
      <c r="Y29" s="602">
        <f>'3. DMF Progress'!F13</f>
        <v>0.8</v>
      </c>
      <c r="Z29" s="654"/>
      <c r="AA29" s="617">
        <f>'3. DMF Progress'!T13</f>
        <v>4.155555555555555</v>
      </c>
      <c r="AB29" s="740">
        <f>'3. DMF Progress'!AS13</f>
        <v>0.21816666666666668</v>
      </c>
      <c r="AC29" s="397"/>
      <c r="AD29" s="617">
        <f>'3. DMF Progress'!U13</f>
        <v>27.555555555555554</v>
      </c>
      <c r="AE29" s="740">
        <f>'3. DMF Progress'!AT13</f>
        <v>0.42594444444444446</v>
      </c>
      <c r="AF29" s="740">
        <f>'3. DMF Progress'!AU13</f>
        <v>1.5959444444444444</v>
      </c>
      <c r="AG29" s="654">
        <f t="shared" si="3"/>
        <v>0</v>
      </c>
      <c r="AH29" s="617"/>
      <c r="AI29" s="400" t="e">
        <f t="shared" si="0"/>
        <v>#DIV/0!</v>
      </c>
      <c r="AJ29" s="397"/>
      <c r="AL29" s="611">
        <f t="shared" si="4"/>
        <v>0</v>
      </c>
      <c r="AM29" s="612">
        <f t="shared" si="4"/>
        <v>20.155555555555555</v>
      </c>
      <c r="AN29" s="688" t="e">
        <f t="shared" si="4"/>
        <v>#DIV/0!</v>
      </c>
    </row>
    <row r="30" spans="1:42" ht="53.25" customHeight="1">
      <c r="A30" s="496"/>
      <c r="B30" s="497" t="s">
        <v>482</v>
      </c>
      <c r="C30" s="497"/>
      <c r="D30" s="497"/>
      <c r="E30" s="529" t="s">
        <v>438</v>
      </c>
      <c r="F30" s="667"/>
      <c r="G30" s="504"/>
      <c r="H30" s="499" t="s">
        <v>660</v>
      </c>
      <c r="I30" s="504"/>
      <c r="J30" s="390" t="s">
        <v>366</v>
      </c>
      <c r="K30" s="390" t="s">
        <v>229</v>
      </c>
      <c r="L30" s="416" t="s">
        <v>440</v>
      </c>
      <c r="M30" s="501">
        <v>700</v>
      </c>
      <c r="N30" s="501">
        <v>1500</v>
      </c>
      <c r="O30" s="505">
        <v>0</v>
      </c>
      <c r="P30" s="505">
        <v>0</v>
      </c>
      <c r="Q30" s="505">
        <v>0</v>
      </c>
      <c r="R30" s="505">
        <f>$M$30+200</f>
        <v>900</v>
      </c>
      <c r="S30" s="505">
        <f>R30+200</f>
        <v>1100</v>
      </c>
      <c r="T30" s="505">
        <f>S30+400</f>
        <v>1500</v>
      </c>
      <c r="U30" s="502"/>
      <c r="V30" s="502"/>
      <c r="W30" s="603"/>
      <c r="X30" s="597"/>
      <c r="Y30" s="602"/>
      <c r="Z30" s="654">
        <f>Q30/4</f>
        <v>0</v>
      </c>
      <c r="AA30" s="617"/>
      <c r="AB30" s="407"/>
      <c r="AC30" s="397"/>
      <c r="AD30" s="617"/>
      <c r="AE30" s="407"/>
      <c r="AF30" s="407"/>
      <c r="AG30" s="654">
        <f t="shared" si="3"/>
        <v>0</v>
      </c>
      <c r="AH30" s="617"/>
      <c r="AI30" s="400"/>
      <c r="AJ30" s="397"/>
      <c r="AL30" s="611"/>
      <c r="AM30" s="612"/>
      <c r="AN30" s="613"/>
    </row>
    <row r="31" spans="1:42" ht="64.5" customHeight="1">
      <c r="A31" s="496"/>
      <c r="B31" s="497" t="s">
        <v>483</v>
      </c>
      <c r="C31" s="497"/>
      <c r="D31" s="497"/>
      <c r="E31" s="529" t="s">
        <v>439</v>
      </c>
      <c r="F31" s="667"/>
      <c r="G31" s="504"/>
      <c r="H31" s="499" t="s">
        <v>660</v>
      </c>
      <c r="I31" s="504"/>
      <c r="J31" s="390" t="s">
        <v>366</v>
      </c>
      <c r="K31" s="390" t="s">
        <v>229</v>
      </c>
      <c r="L31" s="416" t="s">
        <v>354</v>
      </c>
      <c r="M31" s="505">
        <v>0</v>
      </c>
      <c r="N31" s="501">
        <v>75000</v>
      </c>
      <c r="O31" s="505">
        <v>0</v>
      </c>
      <c r="P31" s="505">
        <v>0</v>
      </c>
      <c r="Q31" s="505">
        <v>0</v>
      </c>
      <c r="R31" s="505">
        <f>$N$31/$N$30*R30</f>
        <v>45000</v>
      </c>
      <c r="S31" s="505">
        <f t="shared" ref="S31:T31" si="5">$N$31/$N$30*S30</f>
        <v>55000</v>
      </c>
      <c r="T31" s="505">
        <f t="shared" si="5"/>
        <v>75000</v>
      </c>
      <c r="U31" s="502"/>
      <c r="V31" s="502"/>
      <c r="W31" s="603"/>
      <c r="X31" s="597"/>
      <c r="Y31" s="602"/>
      <c r="Z31" s="654">
        <f>Q31/4</f>
        <v>0</v>
      </c>
      <c r="AA31" s="617"/>
      <c r="AB31" s="407"/>
      <c r="AC31" s="397"/>
      <c r="AD31" s="617"/>
      <c r="AE31" s="407"/>
      <c r="AF31" s="407"/>
      <c r="AG31" s="654">
        <f t="shared" si="3"/>
        <v>0</v>
      </c>
      <c r="AH31" s="617"/>
      <c r="AI31" s="400"/>
      <c r="AJ31" s="397"/>
      <c r="AL31" s="611"/>
      <c r="AM31" s="612"/>
      <c r="AN31" s="613"/>
    </row>
    <row r="32" spans="1:42" ht="86.25" customHeight="1">
      <c r="A32" s="496">
        <v>9</v>
      </c>
      <c r="B32" s="497" t="s">
        <v>397</v>
      </c>
      <c r="C32" s="497" t="s">
        <v>418</v>
      </c>
      <c r="D32" s="497"/>
      <c r="E32" s="659" t="s">
        <v>459</v>
      </c>
      <c r="F32" s="668" t="s">
        <v>679</v>
      </c>
      <c r="G32" s="504" t="s">
        <v>521</v>
      </c>
      <c r="H32" s="499" t="s">
        <v>660</v>
      </c>
      <c r="I32" s="504"/>
      <c r="J32" s="390" t="s">
        <v>366</v>
      </c>
      <c r="K32" s="390" t="s">
        <v>229</v>
      </c>
      <c r="L32" s="416"/>
      <c r="M32" s="500"/>
      <c r="N32" s="501"/>
      <c r="O32" s="640"/>
      <c r="P32" s="640"/>
      <c r="Q32" s="640"/>
      <c r="R32" s="640"/>
      <c r="S32" s="640"/>
      <c r="T32" s="640"/>
      <c r="U32" s="502"/>
      <c r="V32" s="502"/>
      <c r="W32" s="603"/>
      <c r="X32" s="597"/>
      <c r="Y32" s="602"/>
      <c r="Z32" s="655"/>
      <c r="AA32" s="617"/>
      <c r="AB32" s="740">
        <f>(AB33+AB35+AB37)/3</f>
        <v>5.0418666666666667E-2</v>
      </c>
      <c r="AC32" s="397"/>
      <c r="AD32" s="617"/>
      <c r="AE32" s="740">
        <f>(AE33+AE35+AE37)/3</f>
        <v>0.11754755555555556</v>
      </c>
      <c r="AF32" s="740">
        <f>(AF33+AF35+AF37)/3</f>
        <v>0.41974002213333333</v>
      </c>
      <c r="AG32" s="654">
        <f t="shared" si="3"/>
        <v>0</v>
      </c>
      <c r="AH32" s="617"/>
      <c r="AI32" s="400" t="e">
        <f t="shared" si="0"/>
        <v>#DIV/0!</v>
      </c>
      <c r="AJ32" s="397"/>
      <c r="AL32" s="611"/>
      <c r="AM32" s="612"/>
      <c r="AN32" s="613"/>
    </row>
    <row r="33" spans="1:40" ht="35.1" customHeight="1">
      <c r="A33" s="496"/>
      <c r="B33" s="497" t="s">
        <v>484</v>
      </c>
      <c r="C33" s="497" t="s">
        <v>510</v>
      </c>
      <c r="D33" s="497"/>
      <c r="E33" s="529" t="s">
        <v>614</v>
      </c>
      <c r="F33" s="667"/>
      <c r="G33" s="504"/>
      <c r="H33" s="497" t="s">
        <v>474</v>
      </c>
      <c r="I33" s="504"/>
      <c r="J33" s="390" t="s">
        <v>366</v>
      </c>
      <c r="K33" s="390" t="s">
        <v>229</v>
      </c>
      <c r="L33" s="416" t="s">
        <v>441</v>
      </c>
      <c r="M33" s="508" t="s">
        <v>515</v>
      </c>
      <c r="N33" s="501">
        <v>12000</v>
      </c>
      <c r="O33" s="505">
        <v>0</v>
      </c>
      <c r="P33" s="505">
        <v>500</v>
      </c>
      <c r="Q33" s="1136">
        <v>1250</v>
      </c>
      <c r="R33" s="505">
        <v>4000</v>
      </c>
      <c r="S33" s="505">
        <v>3500</v>
      </c>
      <c r="T33" s="505">
        <v>1500</v>
      </c>
      <c r="U33" s="502"/>
      <c r="V33" s="502">
        <f>'DMF PI Links Physical Prog.S1'!Q33</f>
        <v>4</v>
      </c>
      <c r="W33" s="603"/>
      <c r="X33" s="597">
        <f>'3. DMF Progress'!E14</f>
        <v>7.07</v>
      </c>
      <c r="Y33" s="602">
        <f>'3. DMF Progress'!F14</f>
        <v>0.2828</v>
      </c>
      <c r="Z33" s="654">
        <f t="shared" ref="Z33:Z39" si="6">Q33/4</f>
        <v>312.5</v>
      </c>
      <c r="AA33" s="617">
        <f>'3. DMF Progress'!T14</f>
        <v>0.18333333333333335</v>
      </c>
      <c r="AB33" s="740">
        <f>'3. DMF Progress'!AS14</f>
        <v>5.6000000000000008E-3</v>
      </c>
      <c r="AC33" s="397"/>
      <c r="AD33" s="617">
        <f>'3. DMF Progress'!U14</f>
        <v>3.85638916</v>
      </c>
      <c r="AE33" s="740">
        <f>'3. DMF Progress'!AT14</f>
        <v>1.2933333333333335E-2</v>
      </c>
      <c r="AF33" s="740">
        <f>'3. DMF Progress'!AU14</f>
        <v>0.15985556639999998</v>
      </c>
      <c r="AG33" s="654">
        <f t="shared" si="3"/>
        <v>625</v>
      </c>
      <c r="AH33" s="617"/>
      <c r="AI33" s="400"/>
      <c r="AJ33" s="397"/>
      <c r="AL33" s="611">
        <f>W33+Z33+AG33</f>
        <v>937.5</v>
      </c>
      <c r="AM33" s="612">
        <f>X33+AA33+AH33</f>
        <v>7.2533333333333339</v>
      </c>
      <c r="AN33" s="688">
        <f>Y33+AB33+AI33</f>
        <v>0.28839999999999999</v>
      </c>
    </row>
    <row r="34" spans="1:40" ht="35.1" customHeight="1">
      <c r="A34" s="496"/>
      <c r="B34" s="497"/>
      <c r="C34" s="497"/>
      <c r="D34" s="497"/>
      <c r="E34" s="529" t="s">
        <v>615</v>
      </c>
      <c r="F34" s="667"/>
      <c r="G34" s="504"/>
      <c r="H34" s="499"/>
      <c r="I34" s="504"/>
      <c r="J34" s="390" t="s">
        <v>366</v>
      </c>
      <c r="K34" s="390" t="s">
        <v>229</v>
      </c>
      <c r="L34" s="416" t="s">
        <v>134</v>
      </c>
      <c r="M34" s="501">
        <v>11468</v>
      </c>
      <c r="N34" s="501">
        <v>80000</v>
      </c>
      <c r="O34" s="505">
        <v>0</v>
      </c>
      <c r="P34" s="505">
        <f>($N$34/$N$33)*P33</f>
        <v>3333.3333333333335</v>
      </c>
      <c r="Q34" s="505">
        <f t="shared" ref="Q34:T34" si="7">($N$34/$N$33)*Q33</f>
        <v>8333.3333333333339</v>
      </c>
      <c r="R34" s="505">
        <f t="shared" si="7"/>
        <v>26666.666666666668</v>
      </c>
      <c r="S34" s="505">
        <f t="shared" si="7"/>
        <v>23333.333333333336</v>
      </c>
      <c r="T34" s="505">
        <f t="shared" si="7"/>
        <v>10000</v>
      </c>
      <c r="U34" s="502"/>
      <c r="V34" s="502"/>
      <c r="W34" s="603"/>
      <c r="X34" s="597"/>
      <c r="Y34" s="602"/>
      <c r="Z34" s="654">
        <f t="shared" si="6"/>
        <v>2083.3333333333335</v>
      </c>
      <c r="AA34" s="617"/>
      <c r="AB34" s="407"/>
      <c r="AC34" s="397"/>
      <c r="AD34" s="617"/>
      <c r="AE34" s="407"/>
      <c r="AF34" s="407"/>
      <c r="AG34" s="654">
        <f t="shared" si="3"/>
        <v>4166.666666666667</v>
      </c>
      <c r="AH34" s="617"/>
      <c r="AI34" s="400"/>
      <c r="AJ34" s="397"/>
      <c r="AL34" s="611"/>
      <c r="AM34" s="612"/>
      <c r="AN34" s="613"/>
    </row>
    <row r="35" spans="1:40" ht="69.75" customHeight="1">
      <c r="A35" s="496"/>
      <c r="B35" s="497" t="s">
        <v>485</v>
      </c>
      <c r="C35" s="497" t="s">
        <v>511</v>
      </c>
      <c r="D35" s="497"/>
      <c r="E35" s="583" t="s">
        <v>616</v>
      </c>
      <c r="F35" s="667"/>
      <c r="G35" s="504"/>
      <c r="H35" s="497" t="s">
        <v>474</v>
      </c>
      <c r="I35" s="504"/>
      <c r="J35" s="390" t="s">
        <v>366</v>
      </c>
      <c r="K35" s="390" t="s">
        <v>229</v>
      </c>
      <c r="L35" s="416" t="s">
        <v>173</v>
      </c>
      <c r="M35" s="508" t="s">
        <v>515</v>
      </c>
      <c r="N35" s="501">
        <v>6000</v>
      </c>
      <c r="O35" s="505">
        <v>0</v>
      </c>
      <c r="P35" s="505">
        <v>250</v>
      </c>
      <c r="Q35" s="1136">
        <v>625</v>
      </c>
      <c r="R35" s="505">
        <v>1600</v>
      </c>
      <c r="S35" s="505">
        <v>1600</v>
      </c>
      <c r="T35" s="505">
        <v>1300</v>
      </c>
      <c r="U35" s="502"/>
      <c r="V35" s="502">
        <f>'DMF PI Links Physical Prog.S1'!Q35</f>
        <v>4</v>
      </c>
      <c r="W35" s="603"/>
      <c r="X35" s="597">
        <f>'3. DMF Progress'!E15</f>
        <v>7.47</v>
      </c>
      <c r="Y35" s="602">
        <f>'3. DMF Progress'!F15</f>
        <v>0.29880000000000001</v>
      </c>
      <c r="Z35" s="654">
        <f t="shared" si="6"/>
        <v>156.25</v>
      </c>
      <c r="AA35" s="617">
        <f>'3. DMF Progress'!T15</f>
        <v>0.27333333333333332</v>
      </c>
      <c r="AB35" s="740">
        <f>'3. DMF Progress'!AS15</f>
        <v>8.4000000000000012E-3</v>
      </c>
      <c r="AC35" s="397"/>
      <c r="AD35" s="617">
        <f>'3. DMF Progress'!U15</f>
        <v>5.1214924999999996</v>
      </c>
      <c r="AE35" s="740">
        <f>'3. DMF Progress'!AT15</f>
        <v>1.9333333333333334E-2</v>
      </c>
      <c r="AF35" s="740">
        <f>'3. DMF Progress'!AU15</f>
        <v>0.2132597</v>
      </c>
      <c r="AG35" s="654">
        <f t="shared" si="3"/>
        <v>312.5</v>
      </c>
      <c r="AH35" s="617"/>
      <c r="AI35" s="400"/>
      <c r="AJ35" s="397"/>
      <c r="AL35" s="611">
        <f>W35+Z35+AG35</f>
        <v>468.75</v>
      </c>
      <c r="AM35" s="612">
        <f>X35+AA35+AH35</f>
        <v>7.7433333333333332</v>
      </c>
      <c r="AN35" s="688">
        <f>Y35+AB35+AI35</f>
        <v>0.30720000000000003</v>
      </c>
    </row>
    <row r="36" spans="1:40" ht="33" customHeight="1">
      <c r="A36" s="496"/>
      <c r="B36" s="497"/>
      <c r="C36" s="497"/>
      <c r="D36" s="660" t="s">
        <v>672</v>
      </c>
      <c r="E36" s="583" t="s">
        <v>617</v>
      </c>
      <c r="F36" s="667"/>
      <c r="G36" s="504"/>
      <c r="H36" s="499"/>
      <c r="I36" s="504"/>
      <c r="J36" s="390" t="s">
        <v>366</v>
      </c>
      <c r="K36" s="390" t="s">
        <v>229</v>
      </c>
      <c r="L36" s="416" t="s">
        <v>134</v>
      </c>
      <c r="M36" s="501">
        <v>11468</v>
      </c>
      <c r="N36" s="501">
        <v>20000</v>
      </c>
      <c r="O36" s="505">
        <v>0</v>
      </c>
      <c r="P36" s="505">
        <f>($N$36/$N$35)*P35</f>
        <v>833.33333333333337</v>
      </c>
      <c r="Q36" s="1136">
        <v>5000</v>
      </c>
      <c r="R36" s="505">
        <f t="shared" ref="R36:T36" si="8">($N$36/$N$35)*R35</f>
        <v>5333.3333333333339</v>
      </c>
      <c r="S36" s="505">
        <f t="shared" si="8"/>
        <v>5333.3333333333339</v>
      </c>
      <c r="T36" s="505">
        <f t="shared" si="8"/>
        <v>4333.3333333333339</v>
      </c>
      <c r="U36" s="502"/>
      <c r="V36" s="502"/>
      <c r="W36" s="603"/>
      <c r="X36" s="597"/>
      <c r="Y36" s="602"/>
      <c r="Z36" s="654">
        <f t="shared" si="6"/>
        <v>1250</v>
      </c>
      <c r="AA36" s="617"/>
      <c r="AB36" s="407"/>
      <c r="AC36" s="397"/>
      <c r="AD36" s="617"/>
      <c r="AE36" s="407"/>
      <c r="AF36" s="407"/>
      <c r="AG36" s="654">
        <f t="shared" si="3"/>
        <v>2500</v>
      </c>
      <c r="AH36" s="617"/>
      <c r="AI36" s="400"/>
      <c r="AJ36" s="397"/>
      <c r="AL36" s="611"/>
      <c r="AM36" s="612"/>
      <c r="AN36" s="613"/>
    </row>
    <row r="37" spans="1:40" ht="45">
      <c r="A37" s="496"/>
      <c r="B37" s="497" t="s">
        <v>486</v>
      </c>
      <c r="C37" s="497" t="s">
        <v>512</v>
      </c>
      <c r="D37" s="497"/>
      <c r="E37" s="507" t="s">
        <v>825</v>
      </c>
      <c r="F37" s="668"/>
      <c r="G37" s="498" t="s">
        <v>521</v>
      </c>
      <c r="H37" s="497" t="s">
        <v>474</v>
      </c>
      <c r="I37" s="504"/>
      <c r="J37" s="390" t="s">
        <v>366</v>
      </c>
      <c r="K37" s="390" t="s">
        <v>229</v>
      </c>
      <c r="L37" s="416"/>
      <c r="M37" s="517" t="s">
        <v>515</v>
      </c>
      <c r="N37" s="501">
        <v>20000</v>
      </c>
      <c r="O37" s="640">
        <f>SUM(O38:O39)</f>
        <v>0</v>
      </c>
      <c r="P37" s="640">
        <v>2500</v>
      </c>
      <c r="Q37" s="505">
        <v>5000</v>
      </c>
      <c r="R37" s="640">
        <v>9500</v>
      </c>
      <c r="S37" s="640">
        <v>3000</v>
      </c>
      <c r="T37" s="640">
        <v>0</v>
      </c>
      <c r="U37" s="502"/>
      <c r="V37" s="502">
        <f>'DMF PI Links Physical Prog.S1'!Q37</f>
        <v>2</v>
      </c>
      <c r="W37" s="603"/>
      <c r="X37" s="597">
        <f>'3. DMF Progress'!E16</f>
        <v>0.7</v>
      </c>
      <c r="Y37" s="602">
        <f>'3. DMF Progress'!F16</f>
        <v>1.3999999999999999E-2</v>
      </c>
      <c r="Z37" s="654">
        <f t="shared" si="6"/>
        <v>1250</v>
      </c>
      <c r="AA37" s="617">
        <f>'3. DMF Progress'!T16</f>
        <v>9.1560000000000006</v>
      </c>
      <c r="AB37" s="740">
        <f>'3. DMF Progress'!AS16</f>
        <v>0.13725599999999999</v>
      </c>
      <c r="AC37" s="397"/>
      <c r="AD37" s="617">
        <f>'3. DMF Progress'!U16</f>
        <v>37.442440000000005</v>
      </c>
      <c r="AE37" s="740">
        <f>'3. DMF Progress'!AT16</f>
        <v>0.32037599999999999</v>
      </c>
      <c r="AF37" s="740">
        <f>'3. DMF Progress'!AU16</f>
        <v>0.88610480000000003</v>
      </c>
      <c r="AG37" s="654">
        <f t="shared" si="3"/>
        <v>2500</v>
      </c>
      <c r="AH37" s="617"/>
      <c r="AI37" s="400"/>
      <c r="AJ37" s="397"/>
      <c r="AL37" s="611">
        <f>W37+Z37+AG37</f>
        <v>3750</v>
      </c>
      <c r="AM37" s="612">
        <f>X37+AA37+AH37</f>
        <v>9.8559999999999999</v>
      </c>
      <c r="AN37" s="688">
        <f>Y37+AB37+AI37</f>
        <v>0.151256</v>
      </c>
    </row>
    <row r="38" spans="1:40" ht="73.5" customHeight="1">
      <c r="A38" s="496"/>
      <c r="B38" s="497" t="s">
        <v>486</v>
      </c>
      <c r="C38" s="497" t="s">
        <v>513</v>
      </c>
      <c r="D38" s="660" t="s">
        <v>672</v>
      </c>
      <c r="E38" s="529" t="s">
        <v>628</v>
      </c>
      <c r="F38" s="667"/>
      <c r="G38" s="504"/>
      <c r="H38" s="499"/>
      <c r="I38" s="504"/>
      <c r="J38" s="390" t="s">
        <v>366</v>
      </c>
      <c r="K38" s="390" t="s">
        <v>229</v>
      </c>
      <c r="L38" s="416" t="s">
        <v>134</v>
      </c>
      <c r="M38" s="501">
        <v>11468</v>
      </c>
      <c r="N38" s="501">
        <v>20000</v>
      </c>
      <c r="O38" s="505">
        <v>0</v>
      </c>
      <c r="P38" s="505">
        <f>P37/2</f>
        <v>1250</v>
      </c>
      <c r="Q38" s="505">
        <f>Q37/2</f>
        <v>2500</v>
      </c>
      <c r="R38" s="505">
        <f t="shared" ref="R38:T38" si="9">R37/2</f>
        <v>4750</v>
      </c>
      <c r="S38" s="505">
        <f t="shared" si="9"/>
        <v>1500</v>
      </c>
      <c r="T38" s="505">
        <f t="shared" si="9"/>
        <v>0</v>
      </c>
      <c r="U38" s="502"/>
      <c r="V38" s="502"/>
      <c r="W38" s="603"/>
      <c r="X38" s="597"/>
      <c r="Y38" s="602"/>
      <c r="Z38" s="654">
        <f t="shared" si="6"/>
        <v>625</v>
      </c>
      <c r="AA38" s="617"/>
      <c r="AB38" s="407"/>
      <c r="AC38" s="397"/>
      <c r="AD38" s="617"/>
      <c r="AE38" s="407"/>
      <c r="AF38" s="407"/>
      <c r="AG38" s="654">
        <f t="shared" si="3"/>
        <v>1250</v>
      </c>
      <c r="AH38" s="617"/>
      <c r="AI38" s="400"/>
      <c r="AJ38" s="397"/>
      <c r="AL38" s="611"/>
      <c r="AM38" s="612"/>
      <c r="AN38" s="613"/>
    </row>
    <row r="39" spans="1:40" ht="66.75" customHeight="1">
      <c r="A39" s="496"/>
      <c r="B39" s="497" t="s">
        <v>487</v>
      </c>
      <c r="C39" s="497" t="s">
        <v>514</v>
      </c>
      <c r="D39" s="660" t="s">
        <v>672</v>
      </c>
      <c r="E39" s="529" t="s">
        <v>629</v>
      </c>
      <c r="F39" s="667"/>
      <c r="G39" s="504"/>
      <c r="H39" s="499"/>
      <c r="I39" s="504"/>
      <c r="J39" s="390" t="s">
        <v>366</v>
      </c>
      <c r="K39" s="390" t="s">
        <v>229</v>
      </c>
      <c r="L39" s="416" t="s">
        <v>435</v>
      </c>
      <c r="M39" s="501">
        <v>11468</v>
      </c>
      <c r="N39" s="501">
        <v>20000</v>
      </c>
      <c r="O39" s="505">
        <v>0</v>
      </c>
      <c r="P39" s="505">
        <f>P37/2</f>
        <v>1250</v>
      </c>
      <c r="Q39" s="505">
        <f t="shared" ref="Q39:T39" si="10">Q37/2</f>
        <v>2500</v>
      </c>
      <c r="R39" s="505">
        <f t="shared" si="10"/>
        <v>4750</v>
      </c>
      <c r="S39" s="505">
        <f t="shared" si="10"/>
        <v>1500</v>
      </c>
      <c r="T39" s="505">
        <f t="shared" si="10"/>
        <v>0</v>
      </c>
      <c r="U39" s="502"/>
      <c r="V39" s="502"/>
      <c r="W39" s="603"/>
      <c r="X39" s="597"/>
      <c r="Y39" s="602"/>
      <c r="Z39" s="654">
        <f t="shared" si="6"/>
        <v>625</v>
      </c>
      <c r="AA39" s="617"/>
      <c r="AB39" s="407"/>
      <c r="AC39" s="397"/>
      <c r="AD39" s="617"/>
      <c r="AE39" s="407"/>
      <c r="AF39" s="407"/>
      <c r="AG39" s="654">
        <f t="shared" si="3"/>
        <v>1250</v>
      </c>
      <c r="AH39" s="617"/>
      <c r="AI39" s="400"/>
      <c r="AJ39" s="397"/>
      <c r="AL39" s="611"/>
      <c r="AM39" s="612"/>
      <c r="AN39" s="613"/>
    </row>
    <row r="40" spans="1:40" s="572" customFormat="1" ht="33" customHeight="1">
      <c r="A40" s="559"/>
      <c r="B40" s="560" t="s">
        <v>388</v>
      </c>
      <c r="C40" s="560">
        <v>2</v>
      </c>
      <c r="D40" s="560"/>
      <c r="E40" s="561" t="s">
        <v>398</v>
      </c>
      <c r="F40" s="562"/>
      <c r="G40" s="563"/>
      <c r="H40" s="564"/>
      <c r="I40" s="563"/>
      <c r="J40" s="565"/>
      <c r="K40" s="565"/>
      <c r="L40" s="566"/>
      <c r="M40" s="567"/>
      <c r="N40" s="568"/>
      <c r="O40" s="614"/>
      <c r="P40" s="614"/>
      <c r="Q40" s="614"/>
      <c r="R40" s="614"/>
      <c r="S40" s="614"/>
      <c r="T40" s="614"/>
      <c r="U40" s="615"/>
      <c r="V40" s="569">
        <f>'DMF PI Links Physical Prog.S1'!Q40</f>
        <v>20</v>
      </c>
      <c r="W40" s="662"/>
      <c r="X40" s="569">
        <f>'3. DMF Progress'!AF25</f>
        <v>2.0031597222222222</v>
      </c>
      <c r="Y40" s="569">
        <f>'3. DMF Progress'!F25</f>
        <v>2.9565000000000001</v>
      </c>
      <c r="Z40" s="627"/>
      <c r="AA40" s="569">
        <f>'3. DMF Progress'!T25</f>
        <v>44.797623456790134</v>
      </c>
      <c r="AB40" s="569">
        <f>'3. DMF Progress'!AS25</f>
        <v>1.5616857083333331</v>
      </c>
      <c r="AC40" s="562"/>
      <c r="AD40" s="569">
        <f>'3. DMF Progress'!U25</f>
        <v>206.25085708252109</v>
      </c>
      <c r="AE40" s="569">
        <f>'3. DMF Progress'!AT25</f>
        <v>3.1681109130116956</v>
      </c>
      <c r="AF40" s="569">
        <f>'3. DMF Progress'!AU25</f>
        <v>10.116222389619884</v>
      </c>
      <c r="AG40" s="627"/>
      <c r="AH40" s="628"/>
      <c r="AI40" s="630"/>
      <c r="AJ40" s="562"/>
      <c r="AL40" s="611"/>
      <c r="AM40" s="689">
        <f>X40+AA40+AH40</f>
        <v>46.800783179012356</v>
      </c>
      <c r="AN40" s="689">
        <f>Y40+AB40+AI40</f>
        <v>4.5181857083333332</v>
      </c>
    </row>
    <row r="41" spans="1:40" ht="61.5" customHeight="1">
      <c r="A41" s="496">
        <v>10</v>
      </c>
      <c r="B41" s="497" t="s">
        <v>399</v>
      </c>
      <c r="C41" s="497" t="s">
        <v>419</v>
      </c>
      <c r="D41" s="497"/>
      <c r="E41" s="531" t="s">
        <v>400</v>
      </c>
      <c r="F41" s="668" t="s">
        <v>679</v>
      </c>
      <c r="G41" s="504" t="s">
        <v>522</v>
      </c>
      <c r="H41" s="499" t="s">
        <v>660</v>
      </c>
      <c r="I41" s="504"/>
      <c r="J41" s="390" t="s">
        <v>366</v>
      </c>
      <c r="K41" s="390" t="s">
        <v>229</v>
      </c>
      <c r="L41" s="416" t="s">
        <v>100</v>
      </c>
      <c r="M41" s="505">
        <v>0</v>
      </c>
      <c r="N41" s="641">
        <f>SUM(N42:N43)</f>
        <v>3</v>
      </c>
      <c r="O41" s="640">
        <f t="shared" ref="O41:T41" si="11">SUM(O42:O43)</f>
        <v>0</v>
      </c>
      <c r="P41" s="640">
        <f>SUM(P42:P43)</f>
        <v>0</v>
      </c>
      <c r="Q41" s="640">
        <f t="shared" si="11"/>
        <v>0</v>
      </c>
      <c r="R41" s="640">
        <f t="shared" si="11"/>
        <v>3</v>
      </c>
      <c r="S41" s="640">
        <f t="shared" si="11"/>
        <v>0</v>
      </c>
      <c r="T41" s="640">
        <f t="shared" si="11"/>
        <v>0</v>
      </c>
      <c r="U41" s="502"/>
      <c r="V41" s="502">
        <f>'DMF PI Links Physical Prog.S1'!Q41</f>
        <v>5</v>
      </c>
      <c r="W41" s="603"/>
      <c r="X41" s="597">
        <f>'3. DMF Progress'!E19</f>
        <v>6.25</v>
      </c>
      <c r="Y41" s="602">
        <f>'3. DMF Progress'!F19</f>
        <v>0.3125</v>
      </c>
      <c r="Z41" s="654">
        <f t="shared" ref="Z41:Z49" si="12">Q41/4</f>
        <v>0</v>
      </c>
      <c r="AA41" s="617">
        <f>'3. DMF Progress'!T19</f>
        <v>1.6041666666666665</v>
      </c>
      <c r="AB41" s="740">
        <f>'3. DMF Progress'!AS19</f>
        <v>5.4964875000000003E-2</v>
      </c>
      <c r="AC41" s="397"/>
      <c r="AD41" s="617">
        <f>'3. DMF Progress'!U19</f>
        <v>8.7273666666666667</v>
      </c>
      <c r="AE41" s="740">
        <f>'3. DMF Progress'!AT19</f>
        <v>0.13481237500000001</v>
      </c>
      <c r="AF41" s="740">
        <f>'3. DMF Progress'!AU19</f>
        <v>0.65174987500000003</v>
      </c>
      <c r="AG41" s="654">
        <f t="shared" ref="AG41:AG53" si="13">Q41/2</f>
        <v>0</v>
      </c>
      <c r="AH41" s="617"/>
      <c r="AI41" s="400" t="e">
        <f t="shared" si="0"/>
        <v>#DIV/0!</v>
      </c>
      <c r="AJ41" s="397"/>
      <c r="AL41" s="611">
        <f>W41+Z41+AG41</f>
        <v>0</v>
      </c>
      <c r="AM41" s="612">
        <f>X41+AA41+AH41</f>
        <v>7.8541666666666661</v>
      </c>
      <c r="AN41" s="688" t="e">
        <f>Y41+AB41+AI41</f>
        <v>#DIV/0!</v>
      </c>
    </row>
    <row r="42" spans="1:40" ht="39.75" customHeight="1">
      <c r="A42" s="496"/>
      <c r="B42" s="497" t="s">
        <v>488</v>
      </c>
      <c r="C42" s="497"/>
      <c r="D42" s="497"/>
      <c r="E42" s="529" t="s">
        <v>631</v>
      </c>
      <c r="F42" s="667"/>
      <c r="G42" s="504"/>
      <c r="H42" s="499"/>
      <c r="I42" s="504"/>
      <c r="J42" s="390" t="s">
        <v>366</v>
      </c>
      <c r="K42" s="390" t="s">
        <v>229</v>
      </c>
      <c r="L42" s="416" t="s">
        <v>100</v>
      </c>
      <c r="M42" s="505">
        <v>0</v>
      </c>
      <c r="N42" s="501">
        <v>2</v>
      </c>
      <c r="O42" s="505">
        <v>0</v>
      </c>
      <c r="P42" s="505">
        <v>0</v>
      </c>
      <c r="Q42" s="505">
        <v>0</v>
      </c>
      <c r="R42" s="505">
        <v>2</v>
      </c>
      <c r="S42" s="505">
        <v>0</v>
      </c>
      <c r="T42" s="505">
        <v>0</v>
      </c>
      <c r="U42" s="502"/>
      <c r="V42" s="502"/>
      <c r="W42" s="603"/>
      <c r="X42" s="597"/>
      <c r="Y42" s="602"/>
      <c r="Z42" s="654">
        <f t="shared" si="12"/>
        <v>0</v>
      </c>
      <c r="AA42" s="617"/>
      <c r="AB42" s="740">
        <f>'Output 2 '!EJ9/100</f>
        <v>0</v>
      </c>
      <c r="AC42" s="397"/>
      <c r="AD42" s="617"/>
      <c r="AE42" s="740">
        <f>'Output 2 '!ER9/100</f>
        <v>0</v>
      </c>
      <c r="AF42" s="740">
        <f>'Output 2 '!EZ9/100</f>
        <v>0</v>
      </c>
      <c r="AG42" s="654">
        <f t="shared" si="13"/>
        <v>0</v>
      </c>
      <c r="AH42" s="617"/>
      <c r="AI42" s="400"/>
      <c r="AJ42" s="397"/>
      <c r="AL42" s="611"/>
      <c r="AM42" s="612"/>
      <c r="AN42" s="613"/>
    </row>
    <row r="43" spans="1:40" ht="50.25" customHeight="1">
      <c r="A43" s="496"/>
      <c r="B43" s="497" t="s">
        <v>489</v>
      </c>
      <c r="C43" s="497"/>
      <c r="D43" s="497"/>
      <c r="E43" s="529" t="s">
        <v>632</v>
      </c>
      <c r="F43" s="667"/>
      <c r="G43" s="504"/>
      <c r="H43" s="499"/>
      <c r="I43" s="504"/>
      <c r="J43" s="390" t="s">
        <v>366</v>
      </c>
      <c r="K43" s="390" t="s">
        <v>229</v>
      </c>
      <c r="L43" s="416" t="s">
        <v>100</v>
      </c>
      <c r="M43" s="505">
        <v>0</v>
      </c>
      <c r="N43" s="501">
        <v>1</v>
      </c>
      <c r="O43" s="505">
        <v>0</v>
      </c>
      <c r="P43" s="505">
        <v>0</v>
      </c>
      <c r="Q43" s="505">
        <v>0</v>
      </c>
      <c r="R43" s="505">
        <v>1</v>
      </c>
      <c r="S43" s="505">
        <v>0</v>
      </c>
      <c r="T43" s="505">
        <v>0</v>
      </c>
      <c r="U43" s="502"/>
      <c r="V43" s="502"/>
      <c r="W43" s="603"/>
      <c r="X43" s="597"/>
      <c r="Y43" s="602"/>
      <c r="Z43" s="654">
        <f t="shared" si="12"/>
        <v>0</v>
      </c>
      <c r="AA43" s="617"/>
      <c r="AB43" s="740">
        <f>'Output 2 '!EJ10/100</f>
        <v>0</v>
      </c>
      <c r="AC43" s="397"/>
      <c r="AD43" s="617"/>
      <c r="AE43" s="740">
        <f>'Output 2 '!ER10/100</f>
        <v>0</v>
      </c>
      <c r="AF43" s="740">
        <f>'Output 2 '!EZ10/100</f>
        <v>0</v>
      </c>
      <c r="AG43" s="654">
        <f t="shared" si="13"/>
        <v>0</v>
      </c>
      <c r="AH43" s="617"/>
      <c r="AI43" s="400"/>
      <c r="AJ43" s="397"/>
      <c r="AL43" s="611"/>
      <c r="AM43" s="612"/>
      <c r="AN43" s="613"/>
    </row>
    <row r="44" spans="1:40" ht="129" customHeight="1">
      <c r="A44" s="496">
        <v>11</v>
      </c>
      <c r="B44" s="497" t="s">
        <v>403</v>
      </c>
      <c r="C44" s="497" t="s">
        <v>420</v>
      </c>
      <c r="D44" s="497"/>
      <c r="E44" s="528" t="s">
        <v>401</v>
      </c>
      <c r="F44" s="668" t="s">
        <v>679</v>
      </c>
      <c r="G44" s="504" t="s">
        <v>523</v>
      </c>
      <c r="H44" s="499" t="s">
        <v>660</v>
      </c>
      <c r="I44" s="504"/>
      <c r="J44" s="390" t="s">
        <v>366</v>
      </c>
      <c r="K44" s="390" t="s">
        <v>229</v>
      </c>
      <c r="L44" s="416"/>
      <c r="M44" s="517" t="s">
        <v>515</v>
      </c>
      <c r="N44" s="501">
        <f>SUM(N45:N46)</f>
        <v>40000</v>
      </c>
      <c r="O44" s="505">
        <v>0</v>
      </c>
      <c r="P44" s="505">
        <v>2500</v>
      </c>
      <c r="Q44" s="1136">
        <f>Q45+Q46+Q47+Q48+Q49</f>
        <v>19172</v>
      </c>
      <c r="R44" s="505">
        <v>9500</v>
      </c>
      <c r="S44" s="505">
        <v>9000</v>
      </c>
      <c r="T44" s="505">
        <v>9000</v>
      </c>
      <c r="U44" s="502"/>
      <c r="V44" s="502">
        <f>'DMF PI Links Physical Prog.S1'!Q44</f>
        <v>5</v>
      </c>
      <c r="W44" s="603"/>
      <c r="X44" s="597">
        <f>'3. DMF Progress'!E20</f>
        <v>16.98</v>
      </c>
      <c r="Y44" s="602">
        <f>'3. DMF Progress'!F20</f>
        <v>0.84900000000000009</v>
      </c>
      <c r="Z44" s="654">
        <f t="shared" si="12"/>
        <v>4793</v>
      </c>
      <c r="AA44" s="617">
        <f>'3. DMF Progress'!T20</f>
        <v>1.4533333333333336</v>
      </c>
      <c r="AB44" s="740">
        <f>'3. DMF Progress'!AS20</f>
        <v>0.96547499999999986</v>
      </c>
      <c r="AC44" s="397"/>
      <c r="AD44" s="617">
        <f>'3. DMF Progress'!U20</f>
        <v>35.24447807017544</v>
      </c>
      <c r="AE44" s="740">
        <f>'3. DMF Progress'!AT20</f>
        <v>1.9679138157894733</v>
      </c>
      <c r="AF44" s="740">
        <f>'3. DMF Progress'!AU20</f>
        <v>2.8730322368421048</v>
      </c>
      <c r="AG44" s="654">
        <f t="shared" si="13"/>
        <v>9586</v>
      </c>
      <c r="AH44" s="617"/>
      <c r="AI44" s="400">
        <f t="shared" si="0"/>
        <v>0</v>
      </c>
      <c r="AJ44" s="397"/>
      <c r="AL44" s="611">
        <f>W44+Z44+AG44</f>
        <v>14379</v>
      </c>
      <c r="AM44" s="612">
        <f>X44+AA44+AH44</f>
        <v>18.433333333333334</v>
      </c>
      <c r="AN44" s="688">
        <f>Y44+AB44+AI44</f>
        <v>1.8144749999999998</v>
      </c>
    </row>
    <row r="45" spans="1:40" ht="54.75" customHeight="1">
      <c r="A45" s="496"/>
      <c r="B45" s="497" t="s">
        <v>490</v>
      </c>
      <c r="C45" s="497"/>
      <c r="D45" s="497"/>
      <c r="E45" s="529" t="s">
        <v>618</v>
      </c>
      <c r="F45" s="667"/>
      <c r="G45" s="504"/>
      <c r="H45" s="499"/>
      <c r="I45" s="504"/>
      <c r="J45" s="390"/>
      <c r="K45" s="390"/>
      <c r="L45" s="416" t="s">
        <v>134</v>
      </c>
      <c r="M45" s="517" t="s">
        <v>515</v>
      </c>
      <c r="N45" s="501">
        <v>20000</v>
      </c>
      <c r="O45" s="505">
        <v>0</v>
      </c>
      <c r="P45" s="505">
        <v>501</v>
      </c>
      <c r="Q45" s="1136">
        <v>5800</v>
      </c>
      <c r="R45" s="505">
        <v>5000</v>
      </c>
      <c r="S45" s="505">
        <v>5000</v>
      </c>
      <c r="T45" s="505">
        <f>(T44/2)-1</f>
        <v>4499</v>
      </c>
      <c r="U45" s="502"/>
      <c r="V45" s="502"/>
      <c r="W45" s="603"/>
      <c r="X45" s="597"/>
      <c r="Y45" s="602"/>
      <c r="Z45" s="654">
        <f t="shared" si="12"/>
        <v>1450</v>
      </c>
      <c r="AA45" s="617"/>
      <c r="AB45" s="740">
        <f>'Output 2 '!EJ26/100</f>
        <v>0</v>
      </c>
      <c r="AC45" s="397"/>
      <c r="AD45" s="617"/>
      <c r="AE45" s="740">
        <f>'Output 2 '!ER26/100</f>
        <v>1.1000000000000001E-3</v>
      </c>
      <c r="AF45" s="740">
        <f>'Output 2 '!EZ26/100</f>
        <v>8.329166666666667E-3</v>
      </c>
      <c r="AG45" s="654">
        <f t="shared" si="13"/>
        <v>2900</v>
      </c>
      <c r="AH45" s="617"/>
      <c r="AI45" s="400"/>
      <c r="AJ45" s="397"/>
      <c r="AL45" s="611"/>
      <c r="AM45" s="612"/>
      <c r="AN45" s="613"/>
    </row>
    <row r="46" spans="1:40" ht="54.75" customHeight="1">
      <c r="A46" s="496"/>
      <c r="B46" s="497" t="s">
        <v>491</v>
      </c>
      <c r="C46" s="497"/>
      <c r="D46" s="660" t="s">
        <v>672</v>
      </c>
      <c r="E46" s="529" t="s">
        <v>619</v>
      </c>
      <c r="F46" s="667"/>
      <c r="G46" s="504"/>
      <c r="H46" s="499"/>
      <c r="I46" s="504"/>
      <c r="J46" s="390"/>
      <c r="K46" s="390"/>
      <c r="L46" s="416" t="s">
        <v>134</v>
      </c>
      <c r="M46" s="517" t="s">
        <v>515</v>
      </c>
      <c r="N46" s="501">
        <v>20000</v>
      </c>
      <c r="O46" s="505">
        <v>0</v>
      </c>
      <c r="P46" s="505">
        <v>250</v>
      </c>
      <c r="Q46" s="1136">
        <v>7893</v>
      </c>
      <c r="R46" s="505">
        <f t="shared" ref="R46:T46" si="14">4000+(4000-250)/4</f>
        <v>4937.5</v>
      </c>
      <c r="S46" s="505">
        <f t="shared" si="14"/>
        <v>4937.5</v>
      </c>
      <c r="T46" s="505">
        <f t="shared" si="14"/>
        <v>4937.5</v>
      </c>
      <c r="U46" s="502"/>
      <c r="V46" s="502"/>
      <c r="W46" s="603"/>
      <c r="X46" s="597"/>
      <c r="Y46" s="602"/>
      <c r="Z46" s="654">
        <f t="shared" si="12"/>
        <v>1973.25</v>
      </c>
      <c r="AA46" s="617"/>
      <c r="AB46" s="407"/>
      <c r="AC46" s="397"/>
      <c r="AD46" s="617"/>
      <c r="AE46" s="407"/>
      <c r="AF46" s="407"/>
      <c r="AG46" s="654">
        <f t="shared" si="13"/>
        <v>3946.5</v>
      </c>
      <c r="AH46" s="617"/>
      <c r="AI46" s="400"/>
      <c r="AJ46" s="397"/>
      <c r="AL46" s="611"/>
      <c r="AM46" s="612"/>
      <c r="AN46" s="613"/>
    </row>
    <row r="47" spans="1:40" ht="51" customHeight="1">
      <c r="A47" s="496"/>
      <c r="B47" s="497" t="s">
        <v>492</v>
      </c>
      <c r="C47" s="497"/>
      <c r="D47" s="497"/>
      <c r="E47" s="529" t="s">
        <v>620</v>
      </c>
      <c r="F47" s="667"/>
      <c r="G47" s="504"/>
      <c r="H47" s="499"/>
      <c r="I47" s="504"/>
      <c r="J47" s="390"/>
      <c r="K47" s="390"/>
      <c r="L47" s="416" t="s">
        <v>134</v>
      </c>
      <c r="M47" s="505">
        <v>0</v>
      </c>
      <c r="N47" s="501">
        <f>50%*(N46+N45)</f>
        <v>20000</v>
      </c>
      <c r="O47" s="505">
        <v>0</v>
      </c>
      <c r="P47" s="505">
        <v>875</v>
      </c>
      <c r="Q47" s="1136">
        <v>5250</v>
      </c>
      <c r="R47" s="505">
        <f t="shared" ref="R47:T47" si="15">4000+(4000-$P$47)/4</f>
        <v>4781.25</v>
      </c>
      <c r="S47" s="505">
        <f t="shared" si="15"/>
        <v>4781.25</v>
      </c>
      <c r="T47" s="505">
        <f t="shared" si="15"/>
        <v>4781.25</v>
      </c>
      <c r="U47" s="502"/>
      <c r="V47" s="502"/>
      <c r="W47" s="603"/>
      <c r="X47" s="597"/>
      <c r="Y47" s="602"/>
      <c r="Z47" s="654">
        <f t="shared" si="12"/>
        <v>1312.5</v>
      </c>
      <c r="AA47" s="617"/>
      <c r="AB47" s="740">
        <f>'Output 2 '!EJ27/100</f>
        <v>2.5200000000000001E-3</v>
      </c>
      <c r="AC47" s="397"/>
      <c r="AD47" s="617"/>
      <c r="AE47" s="740">
        <f>'Output 2 '!ER27/100</f>
        <v>5.5399999999999998E-3</v>
      </c>
      <c r="AF47" s="740">
        <f>'Output 2 '!EZ27/100</f>
        <v>6.5400000000000007E-3</v>
      </c>
      <c r="AG47" s="654">
        <f t="shared" si="13"/>
        <v>2625</v>
      </c>
      <c r="AH47" s="617"/>
      <c r="AI47" s="400"/>
      <c r="AJ47" s="397"/>
      <c r="AL47" s="611"/>
      <c r="AM47" s="612"/>
      <c r="AN47" s="613"/>
    </row>
    <row r="48" spans="1:40" ht="41.25" customHeight="1">
      <c r="A48" s="496"/>
      <c r="B48" s="497"/>
      <c r="C48" s="497"/>
      <c r="D48" s="633" t="s">
        <v>676</v>
      </c>
      <c r="E48" s="529" t="s">
        <v>667</v>
      </c>
      <c r="F48" s="667"/>
      <c r="G48" s="504"/>
      <c r="H48" s="499"/>
      <c r="I48" s="504"/>
      <c r="J48" s="390"/>
      <c r="K48" s="390"/>
      <c r="L48" s="416"/>
      <c r="M48" s="517" t="s">
        <v>515</v>
      </c>
      <c r="N48" s="501">
        <v>500</v>
      </c>
      <c r="O48" s="505">
        <v>0</v>
      </c>
      <c r="P48" s="505">
        <v>250</v>
      </c>
      <c r="Q48" s="1136">
        <v>120</v>
      </c>
      <c r="R48" s="505">
        <v>0</v>
      </c>
      <c r="S48" s="505">
        <v>0</v>
      </c>
      <c r="T48" s="505">
        <v>0</v>
      </c>
      <c r="U48" s="502"/>
      <c r="V48" s="502"/>
      <c r="W48" s="603"/>
      <c r="X48" s="597"/>
      <c r="Y48" s="602"/>
      <c r="Z48" s="654">
        <f t="shared" si="12"/>
        <v>30</v>
      </c>
      <c r="AA48" s="617"/>
      <c r="AB48" s="740">
        <f>'Output 2 '!EJ25/100</f>
        <v>0</v>
      </c>
      <c r="AC48" s="397"/>
      <c r="AD48" s="617"/>
      <c r="AE48" s="740">
        <f>'Output 2 '!ER25/100</f>
        <v>6.0000000000000001E-3</v>
      </c>
      <c r="AF48" s="740">
        <f>'Output 2 '!EZ25/100</f>
        <v>1.2899999999999998E-2</v>
      </c>
      <c r="AG48" s="654">
        <f t="shared" si="13"/>
        <v>60</v>
      </c>
      <c r="AH48" s="617"/>
      <c r="AI48" s="400"/>
      <c r="AJ48" s="397"/>
      <c r="AL48" s="611"/>
      <c r="AM48" s="612"/>
      <c r="AN48" s="613"/>
    </row>
    <row r="49" spans="1:40" ht="51" customHeight="1">
      <c r="A49" s="496"/>
      <c r="B49" s="497"/>
      <c r="C49" s="497"/>
      <c r="D49" s="633" t="s">
        <v>676</v>
      </c>
      <c r="E49" s="529" t="s">
        <v>699</v>
      </c>
      <c r="F49" s="667"/>
      <c r="G49" s="504"/>
      <c r="H49" s="499"/>
      <c r="I49" s="504"/>
      <c r="J49" s="390"/>
      <c r="K49" s="390"/>
      <c r="L49" s="416"/>
      <c r="M49" s="517" t="s">
        <v>515</v>
      </c>
      <c r="N49" s="501">
        <f>20%*N44</f>
        <v>8000</v>
      </c>
      <c r="O49" s="505">
        <v>0</v>
      </c>
      <c r="P49" s="505">
        <v>496</v>
      </c>
      <c r="Q49" s="1136">
        <v>109</v>
      </c>
      <c r="R49" s="505">
        <v>2000</v>
      </c>
      <c r="S49" s="505">
        <v>2000</v>
      </c>
      <c r="T49" s="505">
        <f>2000-872</f>
        <v>1128</v>
      </c>
      <c r="U49" s="502"/>
      <c r="V49" s="502"/>
      <c r="W49" s="603"/>
      <c r="X49" s="597"/>
      <c r="Y49" s="602"/>
      <c r="Z49" s="654">
        <f t="shared" si="12"/>
        <v>27.25</v>
      </c>
      <c r="AA49" s="617"/>
      <c r="AB49" s="740">
        <f>'Output 2 '!EJ28/100</f>
        <v>0</v>
      </c>
      <c r="AC49" s="397"/>
      <c r="AD49" s="617"/>
      <c r="AE49" s="740">
        <f>'Output 2 '!ER28/100</f>
        <v>8.0526315789473685E-4</v>
      </c>
      <c r="AF49" s="740">
        <f>'Output 2 '!EZ28/100</f>
        <v>2.7789473684210531E-3</v>
      </c>
      <c r="AG49" s="654">
        <f t="shared" si="13"/>
        <v>54.5</v>
      </c>
      <c r="AH49" s="617"/>
      <c r="AI49" s="400"/>
      <c r="AJ49" s="397"/>
      <c r="AL49" s="611"/>
      <c r="AM49" s="612"/>
      <c r="AN49" s="613"/>
    </row>
    <row r="50" spans="1:40" ht="66" customHeight="1">
      <c r="A50" s="496">
        <v>12</v>
      </c>
      <c r="B50" s="497" t="s">
        <v>404</v>
      </c>
      <c r="C50" s="497" t="s">
        <v>442</v>
      </c>
      <c r="D50" s="497"/>
      <c r="E50" s="528" t="s">
        <v>835</v>
      </c>
      <c r="F50" s="668" t="s">
        <v>679</v>
      </c>
      <c r="G50" s="504" t="s">
        <v>524</v>
      </c>
      <c r="H50" s="499" t="s">
        <v>660</v>
      </c>
      <c r="I50" s="504"/>
      <c r="J50" s="390" t="s">
        <v>366</v>
      </c>
      <c r="K50" s="390" t="s">
        <v>229</v>
      </c>
      <c r="L50" s="416" t="s">
        <v>188</v>
      </c>
      <c r="M50" s="505">
        <v>0</v>
      </c>
      <c r="N50" s="501"/>
      <c r="O50" s="640"/>
      <c r="P50" s="640"/>
      <c r="Q50" s="640"/>
      <c r="R50" s="640"/>
      <c r="S50" s="640"/>
      <c r="T50" s="640"/>
      <c r="U50" s="502"/>
      <c r="V50" s="502">
        <f>SUM(V51:V52)</f>
        <v>6</v>
      </c>
      <c r="W50" s="603"/>
      <c r="X50" s="597"/>
      <c r="Y50" s="602"/>
      <c r="Z50" s="654"/>
      <c r="AA50" s="617"/>
      <c r="AB50" s="740">
        <f>SUM(AB51:AB52)/2</f>
        <v>0.10831041666666666</v>
      </c>
      <c r="AC50" s="397"/>
      <c r="AD50" s="617"/>
      <c r="AE50" s="740">
        <f>SUM(AE51:AE52)/2</f>
        <v>0.21579652777777777</v>
      </c>
      <c r="AF50" s="740">
        <f>SUM(AF51:AF52)/2</f>
        <v>1.8108243055555555</v>
      </c>
      <c r="AG50" s="654">
        <f t="shared" si="13"/>
        <v>0</v>
      </c>
      <c r="AH50" s="617"/>
      <c r="AI50" s="400" t="e">
        <f t="shared" si="0"/>
        <v>#DIV/0!</v>
      </c>
      <c r="AJ50" s="397"/>
      <c r="AL50" s="611"/>
      <c r="AM50" s="612"/>
      <c r="AN50" s="613"/>
    </row>
    <row r="51" spans="1:40" ht="57" customHeight="1">
      <c r="A51" s="496"/>
      <c r="B51" s="497" t="s">
        <v>493</v>
      </c>
      <c r="C51" s="497" t="s">
        <v>685</v>
      </c>
      <c r="D51" s="497"/>
      <c r="E51" s="529" t="s">
        <v>680</v>
      </c>
      <c r="F51" s="667"/>
      <c r="G51" s="504" t="s">
        <v>681</v>
      </c>
      <c r="H51" s="499"/>
      <c r="I51" s="504"/>
      <c r="J51" s="390" t="s">
        <v>366</v>
      </c>
      <c r="K51" s="390" t="s">
        <v>229</v>
      </c>
      <c r="L51" s="416" t="s">
        <v>188</v>
      </c>
      <c r="M51" s="505">
        <v>0</v>
      </c>
      <c r="N51" s="501">
        <v>27</v>
      </c>
      <c r="O51" s="505">
        <v>0</v>
      </c>
      <c r="P51" s="505">
        <v>10</v>
      </c>
      <c r="Q51" s="1136">
        <v>18</v>
      </c>
      <c r="R51" s="505">
        <v>9</v>
      </c>
      <c r="S51" s="505">
        <v>0</v>
      </c>
      <c r="T51" s="505">
        <v>0</v>
      </c>
      <c r="U51" s="502"/>
      <c r="V51" s="502">
        <f>'DMF PI Links Physical Prog.S1'!Q51</f>
        <v>3</v>
      </c>
      <c r="W51" s="603"/>
      <c r="X51" s="597">
        <f>'3. DMF Progress'!E21</f>
        <v>12.1</v>
      </c>
      <c r="Y51" s="602">
        <f>'3. DMF Progress'!F21</f>
        <v>0.36299999999999999</v>
      </c>
      <c r="Z51" s="654">
        <f>Q51/4</f>
        <v>4.5</v>
      </c>
      <c r="AA51" s="617">
        <f>'3. DMF Progress'!T21</f>
        <v>18.840123456790124</v>
      </c>
      <c r="AB51" s="740">
        <f>'3. DMF Progress'!AS21</f>
        <v>0.17252083333333332</v>
      </c>
      <c r="AC51" s="397"/>
      <c r="AD51" s="617">
        <f>'3. DMF Progress'!U21</f>
        <v>31.920679012345676</v>
      </c>
      <c r="AE51" s="740">
        <f>'3. DMF Progress'!AT21</f>
        <v>0.34549305555555554</v>
      </c>
      <c r="AF51" s="740">
        <f>'3. DMF Progress'!AU21</f>
        <v>2.2605486111111111</v>
      </c>
      <c r="AG51" s="654">
        <f t="shared" si="13"/>
        <v>9</v>
      </c>
      <c r="AH51" s="617"/>
      <c r="AI51" s="400"/>
      <c r="AJ51" s="397"/>
      <c r="AL51" s="611">
        <f t="shared" ref="AL51:AN52" si="16">W51+Z51+AG51</f>
        <v>13.5</v>
      </c>
      <c r="AM51" s="612">
        <f t="shared" si="16"/>
        <v>30.940123456790126</v>
      </c>
      <c r="AN51" s="688">
        <f t="shared" si="16"/>
        <v>0.53552083333333333</v>
      </c>
    </row>
    <row r="52" spans="1:40" ht="57.75" customHeight="1">
      <c r="A52" s="496"/>
      <c r="B52" s="497" t="s">
        <v>494</v>
      </c>
      <c r="C52" s="497" t="s">
        <v>686</v>
      </c>
      <c r="D52" s="497"/>
      <c r="E52" s="529" t="s">
        <v>621</v>
      </c>
      <c r="F52" s="667"/>
      <c r="G52" s="504"/>
      <c r="H52" s="499"/>
      <c r="I52" s="504"/>
      <c r="J52" s="390" t="s">
        <v>366</v>
      </c>
      <c r="K52" s="390" t="s">
        <v>229</v>
      </c>
      <c r="L52" s="416" t="s">
        <v>134</v>
      </c>
      <c r="M52" s="505">
        <v>0</v>
      </c>
      <c r="N52" s="501">
        <v>500</v>
      </c>
      <c r="O52" s="505">
        <v>0</v>
      </c>
      <c r="P52" s="505">
        <v>100</v>
      </c>
      <c r="Q52" s="1136">
        <v>200</v>
      </c>
      <c r="R52" s="505">
        <v>100</v>
      </c>
      <c r="S52" s="505">
        <v>100</v>
      </c>
      <c r="T52" s="505">
        <v>100</v>
      </c>
      <c r="U52" s="502"/>
      <c r="V52" s="502">
        <f>'DMF PI Links Physical Prog.S1'!Q52</f>
        <v>3</v>
      </c>
      <c r="W52" s="603"/>
      <c r="X52" s="597">
        <f>'3. DMF Progress'!E22</f>
        <v>10</v>
      </c>
      <c r="Y52" s="602">
        <f>'3. DMF Progress'!F22</f>
        <v>0.3</v>
      </c>
      <c r="Z52" s="654">
        <f>Q52/4</f>
        <v>50</v>
      </c>
      <c r="AA52" s="617">
        <f>'3. DMF Progress'!T22</f>
        <v>13</v>
      </c>
      <c r="AB52" s="740">
        <f>'3. DMF Progress'!AS22</f>
        <v>4.41E-2</v>
      </c>
      <c r="AC52" s="397"/>
      <c r="AD52" s="617">
        <f>'3. DMF Progress'!U22</f>
        <v>17.899999999999999</v>
      </c>
      <c r="AE52" s="740">
        <f>'3. DMF Progress'!AT22</f>
        <v>8.610000000000001E-2</v>
      </c>
      <c r="AF52" s="740">
        <f>'3. DMF Progress'!AU22</f>
        <v>1.3611</v>
      </c>
      <c r="AG52" s="654">
        <f t="shared" si="13"/>
        <v>100</v>
      </c>
      <c r="AH52" s="617"/>
      <c r="AI52" s="400"/>
      <c r="AJ52" s="397"/>
      <c r="AL52" s="611">
        <f t="shared" si="16"/>
        <v>150</v>
      </c>
      <c r="AM52" s="612">
        <f t="shared" si="16"/>
        <v>23</v>
      </c>
      <c r="AN52" s="688">
        <f t="shared" si="16"/>
        <v>0.34409999999999996</v>
      </c>
    </row>
    <row r="53" spans="1:40" ht="70.5" customHeight="1">
      <c r="A53" s="496">
        <v>13</v>
      </c>
      <c r="B53" s="497" t="s">
        <v>405</v>
      </c>
      <c r="C53" s="497" t="s">
        <v>443</v>
      </c>
      <c r="D53" s="497"/>
      <c r="E53" s="528" t="s">
        <v>840</v>
      </c>
      <c r="F53" s="668" t="s">
        <v>679</v>
      </c>
      <c r="G53" s="504" t="s">
        <v>525</v>
      </c>
      <c r="H53" s="499" t="s">
        <v>660</v>
      </c>
      <c r="I53" s="504"/>
      <c r="J53" s="390" t="s">
        <v>366</v>
      </c>
      <c r="K53" s="390" t="s">
        <v>229</v>
      </c>
      <c r="L53" s="416"/>
      <c r="M53" s="505">
        <v>0</v>
      </c>
      <c r="N53" s="501">
        <f>SUM(N54:N55)</f>
        <v>8</v>
      </c>
      <c r="O53" s="505"/>
      <c r="P53" s="640">
        <f>SUM(P54:P55)</f>
        <v>6</v>
      </c>
      <c r="Q53" s="640">
        <f>P53</f>
        <v>6</v>
      </c>
      <c r="R53" s="640">
        <f t="shared" ref="R53:T53" si="17">SUM(R54:R55)</f>
        <v>2</v>
      </c>
      <c r="S53" s="640">
        <f t="shared" si="17"/>
        <v>0</v>
      </c>
      <c r="T53" s="640">
        <f t="shared" si="17"/>
        <v>0</v>
      </c>
      <c r="U53" s="502"/>
      <c r="V53" s="502"/>
      <c r="W53" s="603"/>
      <c r="X53" s="597"/>
      <c r="Y53" s="602"/>
      <c r="Z53" s="654">
        <f>Q53/4</f>
        <v>1.5</v>
      </c>
      <c r="AA53" s="646">
        <f>Z53*AB53</f>
        <v>0.24346875000000004</v>
      </c>
      <c r="AB53" s="740">
        <f>SUM(AB54:AB55)/2</f>
        <v>0.16231250000000003</v>
      </c>
      <c r="AC53" s="397"/>
      <c r="AD53" s="646">
        <f>AC53*AE53</f>
        <v>0</v>
      </c>
      <c r="AE53" s="740">
        <f>SUM(AE54:AE55)/2</f>
        <v>0.31689583333333338</v>
      </c>
      <c r="AF53" s="740">
        <f>SUM(AF54:AF55)/2</f>
        <v>1.4848958333333333</v>
      </c>
      <c r="AG53" s="654">
        <f t="shared" si="13"/>
        <v>3</v>
      </c>
      <c r="AH53" s="617"/>
      <c r="AI53" s="400">
        <f t="shared" si="0"/>
        <v>0</v>
      </c>
      <c r="AJ53" s="397"/>
      <c r="AL53" s="611"/>
      <c r="AM53" s="612"/>
      <c r="AN53" s="613"/>
    </row>
    <row r="54" spans="1:40" ht="63.75" customHeight="1">
      <c r="A54" s="496"/>
      <c r="B54" s="497" t="s">
        <v>495</v>
      </c>
      <c r="C54" s="497" t="s">
        <v>687</v>
      </c>
      <c r="D54" s="497"/>
      <c r="E54" s="529" t="s">
        <v>626</v>
      </c>
      <c r="F54" s="667"/>
      <c r="G54" s="504"/>
      <c r="H54" s="499"/>
      <c r="I54" s="504"/>
      <c r="J54" s="390" t="s">
        <v>366</v>
      </c>
      <c r="K54" s="390" t="s">
        <v>229</v>
      </c>
      <c r="L54" s="416" t="s">
        <v>463</v>
      </c>
      <c r="M54" s="505">
        <v>0</v>
      </c>
      <c r="N54" s="501">
        <v>4</v>
      </c>
      <c r="O54" s="505">
        <v>0</v>
      </c>
      <c r="P54" s="505">
        <v>3</v>
      </c>
      <c r="Q54" s="505">
        <v>4</v>
      </c>
      <c r="R54" s="505">
        <v>1</v>
      </c>
      <c r="S54" s="505"/>
      <c r="T54" s="505"/>
      <c r="U54" s="502"/>
      <c r="V54" s="502">
        <f>'DMF PI Links Physical Prog.S1'!Q54</f>
        <v>2</v>
      </c>
      <c r="W54" s="603"/>
      <c r="X54" s="597">
        <f>'3. DMF Progress'!E23</f>
        <v>26.3</v>
      </c>
      <c r="Y54" s="602">
        <f>'3. DMF Progress'!F23</f>
        <v>0.52600000000000002</v>
      </c>
      <c r="Z54" s="654">
        <f>P54/4</f>
        <v>0.75</v>
      </c>
      <c r="AA54" s="617">
        <f>'3. DMF Progress'!T23</f>
        <v>5.5750000000000002</v>
      </c>
      <c r="AB54" s="740">
        <f>'3. DMF Progress'!AS23</f>
        <v>0.1232</v>
      </c>
      <c r="AC54" s="397"/>
      <c r="AD54" s="617">
        <f>'3. DMF Progress'!U23</f>
        <v>51.041666666666671</v>
      </c>
      <c r="AE54" s="740">
        <f>'3. DMF Progress'!AT23</f>
        <v>0.24053333333333335</v>
      </c>
      <c r="AF54" s="740">
        <f>'3. DMF Progress'!AU23</f>
        <v>1.3670333333333333</v>
      </c>
      <c r="AG54" s="654">
        <f>P54/2</f>
        <v>1.5</v>
      </c>
      <c r="AH54" s="617"/>
      <c r="AI54" s="400"/>
      <c r="AJ54" s="397"/>
      <c r="AL54" s="611">
        <f t="shared" ref="AL54:AN55" si="18">W54+Z54+AG54</f>
        <v>2.25</v>
      </c>
      <c r="AM54" s="612">
        <f t="shared" si="18"/>
        <v>31.875</v>
      </c>
      <c r="AN54" s="688">
        <f t="shared" si="18"/>
        <v>0.6492</v>
      </c>
    </row>
    <row r="55" spans="1:40" ht="64.5" customHeight="1">
      <c r="A55" s="496"/>
      <c r="B55" s="497" t="s">
        <v>496</v>
      </c>
      <c r="C55" s="497" t="s">
        <v>688</v>
      </c>
      <c r="D55" s="497"/>
      <c r="E55" s="529" t="s">
        <v>627</v>
      </c>
      <c r="F55" s="667"/>
      <c r="G55" s="504"/>
      <c r="H55" s="499"/>
      <c r="I55" s="504"/>
      <c r="J55" s="390" t="s">
        <v>366</v>
      </c>
      <c r="K55" s="390" t="s">
        <v>229</v>
      </c>
      <c r="L55" s="416" t="s">
        <v>464</v>
      </c>
      <c r="M55" s="505">
        <v>0</v>
      </c>
      <c r="N55" s="501">
        <v>4</v>
      </c>
      <c r="O55" s="505">
        <v>0</v>
      </c>
      <c r="P55" s="505">
        <v>3</v>
      </c>
      <c r="Q55" s="505">
        <v>4</v>
      </c>
      <c r="R55" s="505">
        <v>1</v>
      </c>
      <c r="S55" s="505"/>
      <c r="T55" s="505"/>
      <c r="U55" s="502"/>
      <c r="V55" s="502">
        <f>'DMF PI Links Physical Prog.S1'!Q55</f>
        <v>2</v>
      </c>
      <c r="W55" s="603"/>
      <c r="X55" s="597">
        <f>'3. DMF Progress'!E24</f>
        <v>30.3</v>
      </c>
      <c r="Y55" s="602">
        <f>'3. DMF Progress'!F24</f>
        <v>0.60599999999999998</v>
      </c>
      <c r="Z55" s="654">
        <f>P55/4</f>
        <v>0.75</v>
      </c>
      <c r="AA55" s="617">
        <f>'3. DMF Progress'!T24</f>
        <v>4.3250000000000002</v>
      </c>
      <c r="AB55" s="740">
        <f>'3. DMF Progress'!AS24</f>
        <v>0.20142500000000002</v>
      </c>
      <c r="AC55" s="397"/>
      <c r="AD55" s="617">
        <f>'3. DMF Progress'!U24</f>
        <v>61.416666666666664</v>
      </c>
      <c r="AE55" s="740">
        <f>'3. DMF Progress'!AT24</f>
        <v>0.39325833333333338</v>
      </c>
      <c r="AF55" s="740">
        <f>'3. DMF Progress'!AU24</f>
        <v>1.6027583333333335</v>
      </c>
      <c r="AG55" s="654">
        <f>P55/2</f>
        <v>1.5</v>
      </c>
      <c r="AH55" s="617"/>
      <c r="AI55" s="400"/>
      <c r="AJ55" s="397"/>
      <c r="AL55" s="611">
        <f t="shared" si="18"/>
        <v>2.25</v>
      </c>
      <c r="AM55" s="612">
        <f t="shared" si="18"/>
        <v>34.625</v>
      </c>
      <c r="AN55" s="688">
        <f t="shared" si="18"/>
        <v>0.80742500000000006</v>
      </c>
    </row>
    <row r="56" spans="1:40" s="572" customFormat="1" ht="35.1" customHeight="1">
      <c r="A56" s="559"/>
      <c r="B56" s="560" t="s">
        <v>389</v>
      </c>
      <c r="C56" s="560">
        <v>3</v>
      </c>
      <c r="D56" s="560"/>
      <c r="E56" s="561" t="s">
        <v>402</v>
      </c>
      <c r="F56" s="562"/>
      <c r="G56" s="563"/>
      <c r="H56" s="564"/>
      <c r="I56" s="563"/>
      <c r="J56" s="565"/>
      <c r="K56" s="565"/>
      <c r="L56" s="566"/>
      <c r="M56" s="567"/>
      <c r="N56" s="568"/>
      <c r="O56" s="567"/>
      <c r="P56" s="567"/>
      <c r="Q56" s="567"/>
      <c r="R56" s="567"/>
      <c r="S56" s="567"/>
      <c r="T56" s="567"/>
      <c r="U56" s="569"/>
      <c r="V56" s="569">
        <f>'DMF PI Links Physical Prog.S1'!Q56</f>
        <v>15</v>
      </c>
      <c r="W56" s="662"/>
      <c r="X56" s="614"/>
      <c r="Y56" s="569">
        <f>'3. DMF Progress'!F34</f>
        <v>1.3950000000000002</v>
      </c>
      <c r="Z56" s="627"/>
      <c r="AA56" s="569">
        <f>'3. DMF Progress'!T34</f>
        <v>67.050000000000011</v>
      </c>
      <c r="AB56" s="702">
        <f>'3. DMF Progress'!AS34</f>
        <v>1.1166749999999999</v>
      </c>
      <c r="AC56" s="562"/>
      <c r="AD56" s="569">
        <f>'3. DMF Progress'!U34</f>
        <v>160.12500000000003</v>
      </c>
      <c r="AE56" s="702">
        <f>'3. DMF Progress'!AT34</f>
        <v>2.529175</v>
      </c>
      <c r="AF56" s="702">
        <f>'3. DMF Progress'!AU34</f>
        <v>4.5006750000000002</v>
      </c>
      <c r="AG56" s="627"/>
      <c r="AH56" s="684">
        <f>'3. DMF Progress'!AS34</f>
        <v>1.1166749999999999</v>
      </c>
      <c r="AI56" s="684">
        <f>'3. DMF Progress'!AT34</f>
        <v>2.529175</v>
      </c>
      <c r="AJ56" s="562"/>
      <c r="AL56" s="611"/>
      <c r="AM56" s="689">
        <f>X56+AA56+AH56</f>
        <v>68.166675000000012</v>
      </c>
      <c r="AN56" s="689">
        <f>Y56+AB56+AI56</f>
        <v>5.0408500000000007</v>
      </c>
    </row>
    <row r="57" spans="1:40" ht="56.25" customHeight="1">
      <c r="A57" s="496">
        <v>14</v>
      </c>
      <c r="B57" s="497" t="s">
        <v>582</v>
      </c>
      <c r="C57" s="497" t="s">
        <v>444</v>
      </c>
      <c r="D57" s="497"/>
      <c r="E57" s="528" t="s">
        <v>421</v>
      </c>
      <c r="F57" s="668" t="s">
        <v>679</v>
      </c>
      <c r="G57" s="504" t="s">
        <v>526</v>
      </c>
      <c r="H57" s="499" t="s">
        <v>660</v>
      </c>
      <c r="I57" s="504"/>
      <c r="J57" s="390" t="s">
        <v>366</v>
      </c>
      <c r="K57" s="390" t="s">
        <v>229</v>
      </c>
      <c r="L57" s="416" t="s">
        <v>469</v>
      </c>
      <c r="M57" s="505"/>
      <c r="N57" s="501">
        <f>SUM(N58:N61)</f>
        <v>4</v>
      </c>
      <c r="O57" s="640">
        <v>0</v>
      </c>
      <c r="P57" s="640">
        <v>0</v>
      </c>
      <c r="Q57" s="656">
        <f>SUM(Q58:Q61)</f>
        <v>1.3</v>
      </c>
      <c r="R57" s="656">
        <f>SUM(R58:R61)</f>
        <v>1.3</v>
      </c>
      <c r="S57" s="656">
        <f>SUM(S58:S61)</f>
        <v>1</v>
      </c>
      <c r="T57" s="656">
        <f>SUM(T58:T61)</f>
        <v>0.30000000000000004</v>
      </c>
      <c r="U57" s="502"/>
      <c r="V57" s="502">
        <f>'DMF PI Links Physical Prog.S1'!Q57</f>
        <v>2</v>
      </c>
      <c r="W57" s="603"/>
      <c r="X57" s="597">
        <f>'3. DMF Progress'!E27</f>
        <v>19</v>
      </c>
      <c r="Y57" s="602">
        <f>'3. DMF Progress'!F27</f>
        <v>0.38</v>
      </c>
      <c r="Z57" s="654">
        <f>$Q$57/4</f>
        <v>0.32500000000000001</v>
      </c>
      <c r="AA57" s="617">
        <f>'3. DMF Progress'!T27</f>
        <v>20.75</v>
      </c>
      <c r="AB57" s="740">
        <f>'3. DMF Progress'!AS27</f>
        <v>0.28350000000000003</v>
      </c>
      <c r="AC57" s="397"/>
      <c r="AD57" s="617">
        <f>'3. DMF Progress'!U27</f>
        <v>58.075000000000003</v>
      </c>
      <c r="AE57" s="740">
        <f>'3. DMF Progress'!AT27</f>
        <v>0.69850000000000012</v>
      </c>
      <c r="AF57" s="740">
        <f>'3. DMF Progress'!AU27</f>
        <v>1.4450000000000001</v>
      </c>
      <c r="AG57" s="654">
        <f>$Q$57/2</f>
        <v>0.65</v>
      </c>
      <c r="AH57" s="617"/>
      <c r="AI57" s="400">
        <f t="shared" si="0"/>
        <v>0</v>
      </c>
      <c r="AJ57" s="397"/>
      <c r="AL57" s="611">
        <f>W57+Z57+AG57</f>
        <v>0.97500000000000009</v>
      </c>
      <c r="AM57" s="612">
        <f>X57+AA57+AH57</f>
        <v>39.75</v>
      </c>
      <c r="AN57" s="688">
        <f>Y57+AB57+AI57</f>
        <v>0.66349999999999998</v>
      </c>
    </row>
    <row r="58" spans="1:40" ht="48" customHeight="1">
      <c r="A58" s="496"/>
      <c r="B58" s="497" t="s">
        <v>497</v>
      </c>
      <c r="C58" s="497"/>
      <c r="D58" s="497"/>
      <c r="E58" s="529" t="s">
        <v>849</v>
      </c>
      <c r="F58" s="667"/>
      <c r="G58" s="504"/>
      <c r="H58" s="499"/>
      <c r="I58" s="504"/>
      <c r="J58" s="390" t="s">
        <v>366</v>
      </c>
      <c r="K58" s="390" t="s">
        <v>229</v>
      </c>
      <c r="L58" s="416" t="s">
        <v>469</v>
      </c>
      <c r="M58" s="505">
        <v>0</v>
      </c>
      <c r="N58" s="501">
        <v>1</v>
      </c>
      <c r="O58" s="505">
        <v>0</v>
      </c>
      <c r="P58" s="505"/>
      <c r="Q58" s="631">
        <v>0.4</v>
      </c>
      <c r="R58" s="631">
        <v>0.4</v>
      </c>
      <c r="S58" s="631">
        <v>0.1</v>
      </c>
      <c r="T58" s="505"/>
      <c r="U58" s="502"/>
      <c r="V58" s="502"/>
      <c r="W58" s="603"/>
      <c r="X58" s="597"/>
      <c r="Y58" s="602"/>
      <c r="Z58" s="654">
        <f>$Q$58/4</f>
        <v>0.1</v>
      </c>
      <c r="AA58" s="617"/>
      <c r="AB58" s="740">
        <f>'Output 3'!EI9/100</f>
        <v>5.7750000000000003E-2</v>
      </c>
      <c r="AC58" s="397"/>
      <c r="AD58" s="617"/>
      <c r="AE58" s="740">
        <f>'Output 3'!EQ9/100</f>
        <v>0.14025000000000001</v>
      </c>
      <c r="AF58" s="740">
        <f>'Output 3'!EY9/100</f>
        <v>0.27700000000000002</v>
      </c>
      <c r="AG58" s="654">
        <f>$Q$58/2</f>
        <v>0.2</v>
      </c>
      <c r="AH58" s="617"/>
      <c r="AI58" s="400"/>
      <c r="AJ58" s="397"/>
      <c r="AL58" s="611"/>
      <c r="AM58" s="612"/>
      <c r="AN58" s="613"/>
    </row>
    <row r="59" spans="1:40" s="650" customFormat="1" ht="49.5" customHeight="1">
      <c r="A59" s="634"/>
      <c r="B59" s="635" t="s">
        <v>498</v>
      </c>
      <c r="C59" s="635"/>
      <c r="D59" s="635"/>
      <c r="E59" s="529" t="s">
        <v>843</v>
      </c>
      <c r="F59" s="669"/>
      <c r="G59" s="636"/>
      <c r="H59" s="637"/>
      <c r="I59" s="636"/>
      <c r="J59" s="638" t="s">
        <v>366</v>
      </c>
      <c r="K59" s="638" t="s">
        <v>229</v>
      </c>
      <c r="L59" s="639" t="s">
        <v>469</v>
      </c>
      <c r="M59" s="640">
        <v>0</v>
      </c>
      <c r="N59" s="641">
        <v>1</v>
      </c>
      <c r="O59" s="640">
        <v>0</v>
      </c>
      <c r="P59" s="640"/>
      <c r="Q59" s="631">
        <v>0.3</v>
      </c>
      <c r="R59" s="631">
        <v>0.3</v>
      </c>
      <c r="S59" s="631">
        <v>0.3</v>
      </c>
      <c r="T59" s="631">
        <v>0.1</v>
      </c>
      <c r="U59" s="642"/>
      <c r="V59" s="642"/>
      <c r="W59" s="643"/>
      <c r="X59" s="644"/>
      <c r="Y59" s="645"/>
      <c r="Z59" s="654">
        <f>$Q$59/4</f>
        <v>7.4999999999999997E-2</v>
      </c>
      <c r="AA59" s="646"/>
      <c r="AB59" s="1137">
        <f>'Output 3'!EI10/100</f>
        <v>2.8875000000000001E-2</v>
      </c>
      <c r="AC59" s="1139"/>
      <c r="AD59" s="646"/>
      <c r="AE59" s="740">
        <f>'Output 3'!EQ10/100</f>
        <v>7.1374999999999994E-2</v>
      </c>
      <c r="AF59" s="740">
        <f>'Output 3'!EY10/100</f>
        <v>0.13387499999999999</v>
      </c>
      <c r="AG59" s="654">
        <f>$Q$59/2</f>
        <v>0.15</v>
      </c>
      <c r="AH59" s="646"/>
      <c r="AI59" s="649"/>
      <c r="AJ59" s="648"/>
      <c r="AL59" s="651"/>
      <c r="AM59" s="652"/>
      <c r="AN59" s="653"/>
    </row>
    <row r="60" spans="1:40" ht="69.75" customHeight="1">
      <c r="A60" s="496"/>
      <c r="B60" s="497" t="s">
        <v>499</v>
      </c>
      <c r="C60" s="497"/>
      <c r="D60" s="497"/>
      <c r="E60" s="529" t="s">
        <v>844</v>
      </c>
      <c r="F60" s="667"/>
      <c r="G60" s="504"/>
      <c r="H60" s="499"/>
      <c r="I60" s="504"/>
      <c r="J60" s="390" t="s">
        <v>366</v>
      </c>
      <c r="K60" s="390" t="s">
        <v>229</v>
      </c>
      <c r="L60" s="416" t="s">
        <v>469</v>
      </c>
      <c r="M60" s="505">
        <v>0</v>
      </c>
      <c r="N60" s="501">
        <v>1</v>
      </c>
      <c r="O60" s="505">
        <v>0</v>
      </c>
      <c r="P60" s="505"/>
      <c r="Q60" s="631">
        <v>0.3</v>
      </c>
      <c r="R60" s="631">
        <v>0.3</v>
      </c>
      <c r="S60" s="631">
        <v>0.3</v>
      </c>
      <c r="T60" s="631">
        <v>0.1</v>
      </c>
      <c r="U60" s="502"/>
      <c r="V60" s="502"/>
      <c r="W60" s="603"/>
      <c r="X60" s="597"/>
      <c r="Y60" s="602"/>
      <c r="Z60" s="654">
        <f>$Q$60/4</f>
        <v>7.4999999999999997E-2</v>
      </c>
      <c r="AA60" s="617"/>
      <c r="AB60" s="1137">
        <f>'Output 3'!EI11/100</f>
        <v>2.6250000000000006E-2</v>
      </c>
      <c r="AC60" s="397"/>
      <c r="AD60" s="617"/>
      <c r="AE60" s="740">
        <f>'Output 3'!EQ11/100</f>
        <v>6.6250000000000003E-2</v>
      </c>
      <c r="AF60" s="740">
        <f>'Output 3'!EY11/100</f>
        <v>0.12875</v>
      </c>
      <c r="AG60" s="654">
        <f>$Q$60/2</f>
        <v>0.15</v>
      </c>
      <c r="AH60" s="617"/>
      <c r="AI60" s="400"/>
      <c r="AJ60" s="397"/>
      <c r="AL60" s="611"/>
      <c r="AM60" s="612"/>
      <c r="AN60" s="613"/>
    </row>
    <row r="61" spans="1:40" ht="69" customHeight="1">
      <c r="A61" s="496"/>
      <c r="B61" s="497" t="s">
        <v>500</v>
      </c>
      <c r="C61" s="497"/>
      <c r="D61" s="497"/>
      <c r="E61" s="1138" t="s">
        <v>850</v>
      </c>
      <c r="F61" s="667"/>
      <c r="G61" s="504"/>
      <c r="H61" s="499"/>
      <c r="I61" s="504"/>
      <c r="J61" s="390" t="s">
        <v>366</v>
      </c>
      <c r="K61" s="390" t="s">
        <v>229</v>
      </c>
      <c r="L61" s="416" t="s">
        <v>469</v>
      </c>
      <c r="M61" s="505">
        <v>0</v>
      </c>
      <c r="N61" s="501">
        <v>1</v>
      </c>
      <c r="O61" s="505">
        <v>0</v>
      </c>
      <c r="P61" s="505"/>
      <c r="Q61" s="631">
        <v>0.3</v>
      </c>
      <c r="R61" s="631">
        <v>0.3</v>
      </c>
      <c r="S61" s="631">
        <v>0.3</v>
      </c>
      <c r="T61" s="631">
        <v>0.1</v>
      </c>
      <c r="U61" s="502"/>
      <c r="V61" s="502"/>
      <c r="W61" s="603"/>
      <c r="X61" s="597"/>
      <c r="Y61" s="602"/>
      <c r="Z61" s="654">
        <f>$Q$61/4</f>
        <v>7.4999999999999997E-2</v>
      </c>
      <c r="AA61" s="617"/>
      <c r="AB61" s="1137">
        <f>'Output 3'!EI12/100</f>
        <v>2.8875000000000001E-2</v>
      </c>
      <c r="AC61" s="397"/>
      <c r="AD61" s="617"/>
      <c r="AE61" s="740">
        <f>'Output 3'!EQ12/100</f>
        <v>7.1374999999999994E-2</v>
      </c>
      <c r="AF61" s="740">
        <f>'Output 3'!EY12/100</f>
        <v>0.18287500000000001</v>
      </c>
      <c r="AG61" s="654">
        <f>$Q$61/2</f>
        <v>0.15</v>
      </c>
      <c r="AH61" s="617"/>
      <c r="AI61" s="400"/>
      <c r="AJ61" s="397"/>
      <c r="AL61" s="611"/>
      <c r="AM61" s="612"/>
      <c r="AN61" s="613"/>
    </row>
    <row r="62" spans="1:40" ht="60" customHeight="1">
      <c r="A62" s="496">
        <v>15</v>
      </c>
      <c r="B62" s="497" t="s">
        <v>450</v>
      </c>
      <c r="C62" s="497" t="s">
        <v>445</v>
      </c>
      <c r="D62" s="497"/>
      <c r="E62" s="528" t="s">
        <v>406</v>
      </c>
      <c r="F62" s="668" t="s">
        <v>679</v>
      </c>
      <c r="G62" s="504" t="s">
        <v>527</v>
      </c>
      <c r="H62" s="499" t="s">
        <v>660</v>
      </c>
      <c r="I62" s="504"/>
      <c r="J62" s="390" t="s">
        <v>366</v>
      </c>
      <c r="K62" s="390" t="s">
        <v>229</v>
      </c>
      <c r="L62" s="416" t="s">
        <v>472</v>
      </c>
      <c r="M62" s="505">
        <v>0</v>
      </c>
      <c r="N62" s="501">
        <f>SUM(N63:N64)</f>
        <v>2</v>
      </c>
      <c r="O62" s="505">
        <v>0</v>
      </c>
      <c r="P62" s="505">
        <v>0</v>
      </c>
      <c r="Q62" s="631">
        <f>SUM(Q63:Q64)</f>
        <v>0.6</v>
      </c>
      <c r="R62" s="631">
        <f t="shared" ref="R62:T62" si="19">SUM(R63:R64)</f>
        <v>0.6</v>
      </c>
      <c r="S62" s="631">
        <f t="shared" si="19"/>
        <v>0.6</v>
      </c>
      <c r="T62" s="631">
        <f t="shared" si="19"/>
        <v>0.2</v>
      </c>
      <c r="U62" s="502"/>
      <c r="V62" s="502">
        <f>'DMF PI Links Physical Prog.S1'!Q64</f>
        <v>2</v>
      </c>
      <c r="W62" s="603"/>
      <c r="X62" s="597">
        <f>'3. DMF Progress'!E28</f>
        <v>14.5</v>
      </c>
      <c r="Y62" s="602">
        <f>'3. DMF Progress'!F28</f>
        <v>0.28999999999999998</v>
      </c>
      <c r="Z62" s="654">
        <f>$Q$62/4</f>
        <v>0.15</v>
      </c>
      <c r="AA62" s="617">
        <f>'3. DMF Progress'!T28</f>
        <v>7.15</v>
      </c>
      <c r="AB62" s="1137">
        <f>'3. DMF Progress'!AS28</f>
        <v>0.10185000000000001</v>
      </c>
      <c r="AC62" s="397"/>
      <c r="AD62" s="617">
        <f>'3. DMF Progress'!U28</f>
        <v>16.650000000000002</v>
      </c>
      <c r="AE62" s="740">
        <f>'3. DMF Progress'!AT28</f>
        <v>0.24485000000000001</v>
      </c>
      <c r="AF62" s="740">
        <f>'3. DMF Progress'!AU28</f>
        <v>0.43485000000000001</v>
      </c>
      <c r="AG62" s="654">
        <f>$Q$62/2</f>
        <v>0.3</v>
      </c>
      <c r="AH62" s="617"/>
      <c r="AI62" s="400">
        <f t="shared" si="0"/>
        <v>0</v>
      </c>
      <c r="AJ62" s="397"/>
      <c r="AL62" s="611">
        <f>W62+Z62+AG62</f>
        <v>0.44999999999999996</v>
      </c>
      <c r="AM62" s="612">
        <f>X62+AA62+AH62</f>
        <v>21.65</v>
      </c>
      <c r="AN62" s="688">
        <f>Y62+AB62+AI62</f>
        <v>0.39184999999999998</v>
      </c>
    </row>
    <row r="63" spans="1:40" ht="45.75" customHeight="1">
      <c r="A63" s="496"/>
      <c r="B63" s="497" t="s">
        <v>477</v>
      </c>
      <c r="C63" s="497"/>
      <c r="D63" s="497"/>
      <c r="E63" s="529" t="s">
        <v>470</v>
      </c>
      <c r="F63" s="667"/>
      <c r="G63" s="504"/>
      <c r="H63" s="499"/>
      <c r="I63" s="504"/>
      <c r="J63" s="390" t="s">
        <v>366</v>
      </c>
      <c r="K63" s="390" t="s">
        <v>229</v>
      </c>
      <c r="L63" s="416" t="s">
        <v>472</v>
      </c>
      <c r="M63" s="505">
        <v>0</v>
      </c>
      <c r="N63" s="501">
        <v>1</v>
      </c>
      <c r="O63" s="505">
        <v>0</v>
      </c>
      <c r="P63" s="505">
        <v>0</v>
      </c>
      <c r="Q63" s="631">
        <v>0.3</v>
      </c>
      <c r="R63" s="631">
        <v>0.3</v>
      </c>
      <c r="S63" s="631">
        <v>0.3</v>
      </c>
      <c r="T63" s="631">
        <v>0.1</v>
      </c>
      <c r="U63" s="502"/>
      <c r="V63" s="502"/>
      <c r="W63" s="603"/>
      <c r="X63" s="597"/>
      <c r="Y63" s="602"/>
      <c r="Z63" s="654">
        <f>$Q$63/4</f>
        <v>7.4999999999999997E-2</v>
      </c>
      <c r="AA63" s="617"/>
      <c r="AB63" s="1137">
        <f>'Output 3'!EI16/100</f>
        <v>0</v>
      </c>
      <c r="AC63" s="397"/>
      <c r="AD63" s="617"/>
      <c r="AE63" s="1137">
        <f>'Output 3'!EQ16/100</f>
        <v>0</v>
      </c>
      <c r="AF63" s="1137">
        <f>'Output 3'!EY16/100</f>
        <v>0</v>
      </c>
      <c r="AG63" s="654">
        <f>$Q$63/2</f>
        <v>0.15</v>
      </c>
      <c r="AH63" s="617"/>
      <c r="AI63" s="400"/>
      <c r="AJ63" s="397"/>
      <c r="AL63" s="611"/>
      <c r="AM63" s="612"/>
      <c r="AN63" s="613"/>
    </row>
    <row r="64" spans="1:40" ht="48.75" customHeight="1">
      <c r="A64" s="496"/>
      <c r="B64" s="497" t="s">
        <v>478</v>
      </c>
      <c r="C64" s="497"/>
      <c r="D64" s="497"/>
      <c r="E64" s="529" t="s">
        <v>471</v>
      </c>
      <c r="F64" s="667"/>
      <c r="G64" s="504"/>
      <c r="H64" s="499"/>
      <c r="I64" s="504"/>
      <c r="J64" s="390" t="s">
        <v>366</v>
      </c>
      <c r="K64" s="390" t="s">
        <v>229</v>
      </c>
      <c r="L64" s="416" t="s">
        <v>472</v>
      </c>
      <c r="M64" s="505">
        <v>0</v>
      </c>
      <c r="N64" s="501">
        <v>1</v>
      </c>
      <c r="O64" s="505">
        <v>0</v>
      </c>
      <c r="P64" s="505">
        <v>0</v>
      </c>
      <c r="Q64" s="631">
        <v>0.3</v>
      </c>
      <c r="R64" s="631">
        <v>0.3</v>
      </c>
      <c r="S64" s="631">
        <v>0.3</v>
      </c>
      <c r="T64" s="631">
        <v>0.1</v>
      </c>
      <c r="U64" s="502"/>
      <c r="V64" s="502"/>
      <c r="W64" s="603"/>
      <c r="X64" s="597"/>
      <c r="Y64" s="602"/>
      <c r="Z64" s="654">
        <f>$Q$64/4</f>
        <v>7.4999999999999997E-2</v>
      </c>
      <c r="AA64" s="617"/>
      <c r="AB64" s="1137">
        <f>'Output 3'!EI17/100</f>
        <v>1.7325E-2</v>
      </c>
      <c r="AC64" s="397"/>
      <c r="AD64" s="617"/>
      <c r="AE64" s="1137">
        <f>'Output 3'!EQ17/100</f>
        <v>4.2824999999999995E-2</v>
      </c>
      <c r="AF64" s="1137">
        <f>'Output 3'!EY17/100</f>
        <v>5.7824999999999988E-2</v>
      </c>
      <c r="AG64" s="654">
        <f>$Q$64/2</f>
        <v>0.15</v>
      </c>
      <c r="AH64" s="617"/>
      <c r="AI64" s="400"/>
      <c r="AJ64" s="397"/>
      <c r="AL64" s="611"/>
      <c r="AM64" s="612"/>
      <c r="AN64" s="613"/>
    </row>
    <row r="65" spans="1:40" ht="48.75" customHeight="1">
      <c r="A65" s="496">
        <v>16</v>
      </c>
      <c r="B65" s="497" t="s">
        <v>451</v>
      </c>
      <c r="C65" s="497" t="s">
        <v>446</v>
      </c>
      <c r="D65" s="497"/>
      <c r="E65" s="528" t="s">
        <v>407</v>
      </c>
      <c r="F65" s="668" t="s">
        <v>679</v>
      </c>
      <c r="G65" s="504" t="s">
        <v>528</v>
      </c>
      <c r="H65" s="499" t="s">
        <v>660</v>
      </c>
      <c r="I65" s="504"/>
      <c r="J65" s="390" t="s">
        <v>366</v>
      </c>
      <c r="K65" s="390" t="s">
        <v>229</v>
      </c>
      <c r="L65" s="416" t="s">
        <v>134</v>
      </c>
      <c r="M65" s="505">
        <v>0</v>
      </c>
      <c r="N65" s="641">
        <v>50</v>
      </c>
      <c r="O65" s="640">
        <v>0</v>
      </c>
      <c r="P65" s="640">
        <v>0</v>
      </c>
      <c r="Q65" s="1140">
        <v>25</v>
      </c>
      <c r="R65" s="640">
        <v>20</v>
      </c>
      <c r="S65" s="640">
        <v>15</v>
      </c>
      <c r="T65" s="640">
        <v>0</v>
      </c>
      <c r="U65" s="502"/>
      <c r="V65" s="502">
        <f>'DMF PI Links Physical Prog.S1'!Q67</f>
        <v>2</v>
      </c>
      <c r="W65" s="603"/>
      <c r="X65" s="597">
        <f>'3. DMF Progress'!E29</f>
        <v>11.5</v>
      </c>
      <c r="Y65" s="602">
        <f>'3. DMF Progress'!F29</f>
        <v>0.23</v>
      </c>
      <c r="Z65" s="654">
        <f t="shared" ref="Z65:Z73" si="20">Q65/4</f>
        <v>6.25</v>
      </c>
      <c r="AA65" s="617">
        <f>'3. DMF Progress'!T29</f>
        <v>12.200000000000001</v>
      </c>
      <c r="AB65" s="740">
        <f>'3. DMF Progress'!AS29</f>
        <v>0.18060000000000001</v>
      </c>
      <c r="AC65" s="397"/>
      <c r="AD65" s="617">
        <f>'3. DMF Progress'!U29</f>
        <v>42.199999999999996</v>
      </c>
      <c r="AE65" s="740">
        <f>'3. DMF Progress'!AT29</f>
        <v>0.42460000000000009</v>
      </c>
      <c r="AF65" s="740">
        <f>'3. DMF Progress'!AU29</f>
        <v>1.0246</v>
      </c>
      <c r="AG65" s="654">
        <f t="shared" ref="AG65:AG72" si="21">Q65/2</f>
        <v>12.5</v>
      </c>
      <c r="AH65" s="617"/>
      <c r="AI65" s="400">
        <f t="shared" si="0"/>
        <v>0</v>
      </c>
      <c r="AJ65" s="397"/>
      <c r="AL65" s="611">
        <f>W65+Z65+AG65</f>
        <v>18.75</v>
      </c>
      <c r="AM65" s="612">
        <f>X65+AA65+AH65</f>
        <v>23.700000000000003</v>
      </c>
      <c r="AN65" s="688">
        <f>Y65+AB65+AI65</f>
        <v>0.41060000000000002</v>
      </c>
    </row>
    <row r="66" spans="1:40" ht="57.75" customHeight="1">
      <c r="A66" s="496"/>
      <c r="B66" s="497" t="s">
        <v>475</v>
      </c>
      <c r="C66" s="497"/>
      <c r="D66" s="497"/>
      <c r="E66" s="529" t="s">
        <v>622</v>
      </c>
      <c r="F66" s="667"/>
      <c r="G66" s="504"/>
      <c r="H66" s="499"/>
      <c r="I66" s="504"/>
      <c r="J66" s="390" t="s">
        <v>366</v>
      </c>
      <c r="K66" s="390" t="s">
        <v>229</v>
      </c>
      <c r="L66" s="416" t="s">
        <v>134</v>
      </c>
      <c r="M66" s="505">
        <v>0</v>
      </c>
      <c r="N66" s="501">
        <f>N65/2</f>
        <v>25</v>
      </c>
      <c r="O66" s="505">
        <v>0</v>
      </c>
      <c r="P66" s="505">
        <f>P65/2</f>
        <v>0</v>
      </c>
      <c r="Q66" s="505">
        <f>Q65/2</f>
        <v>12.5</v>
      </c>
      <c r="R66" s="505">
        <f t="shared" ref="R66:T66" si="22">R65/2</f>
        <v>10</v>
      </c>
      <c r="S66" s="505">
        <f t="shared" si="22"/>
        <v>7.5</v>
      </c>
      <c r="T66" s="505">
        <f t="shared" si="22"/>
        <v>0</v>
      </c>
      <c r="U66" s="502"/>
      <c r="V66" s="502"/>
      <c r="W66" s="603"/>
      <c r="X66" s="597"/>
      <c r="Y66" s="602"/>
      <c r="Z66" s="654">
        <f t="shared" si="20"/>
        <v>3.125</v>
      </c>
      <c r="AA66" s="617"/>
      <c r="AB66" s="1137">
        <f>'Output 3'!EI25/100</f>
        <v>0</v>
      </c>
      <c r="AC66" s="397"/>
      <c r="AD66" s="617"/>
      <c r="AE66" s="1137">
        <f>'Output 3'!EQ25/100</f>
        <v>0</v>
      </c>
      <c r="AF66" s="1137">
        <f>'Output 3'!EY25/100</f>
        <v>0</v>
      </c>
      <c r="AG66" s="654">
        <f t="shared" si="21"/>
        <v>6.25</v>
      </c>
      <c r="AH66" s="617"/>
      <c r="AI66" s="400"/>
      <c r="AJ66" s="397"/>
      <c r="AL66" s="611"/>
      <c r="AM66" s="612"/>
      <c r="AN66" s="613"/>
    </row>
    <row r="67" spans="1:40" ht="61.5" customHeight="1">
      <c r="A67" s="496"/>
      <c r="B67" s="497" t="s">
        <v>476</v>
      </c>
      <c r="C67" s="497"/>
      <c r="D67" s="497"/>
      <c r="E67" s="529" t="s">
        <v>623</v>
      </c>
      <c r="F67" s="667"/>
      <c r="G67" s="504"/>
      <c r="H67" s="499"/>
      <c r="I67" s="504"/>
      <c r="J67" s="390" t="s">
        <v>366</v>
      </c>
      <c r="K67" s="390" t="s">
        <v>229</v>
      </c>
      <c r="L67" s="416" t="s">
        <v>134</v>
      </c>
      <c r="M67" s="505">
        <v>0</v>
      </c>
      <c r="N67" s="501">
        <f>N65/2</f>
        <v>25</v>
      </c>
      <c r="O67" s="505">
        <v>0</v>
      </c>
      <c r="P67" s="505">
        <f>P65/2</f>
        <v>0</v>
      </c>
      <c r="Q67" s="505">
        <f>Q65/2</f>
        <v>12.5</v>
      </c>
      <c r="R67" s="505">
        <f t="shared" ref="R67:T67" si="23">R65/2</f>
        <v>10</v>
      </c>
      <c r="S67" s="505">
        <f t="shared" si="23"/>
        <v>7.5</v>
      </c>
      <c r="T67" s="505">
        <f t="shared" si="23"/>
        <v>0</v>
      </c>
      <c r="U67" s="502"/>
      <c r="V67" s="502"/>
      <c r="W67" s="603"/>
      <c r="X67" s="597"/>
      <c r="Y67" s="602"/>
      <c r="Z67" s="654">
        <f t="shared" si="20"/>
        <v>3.125</v>
      </c>
      <c r="AA67" s="617"/>
      <c r="AB67" s="1137">
        <f>'Output 3'!EI26/100</f>
        <v>0</v>
      </c>
      <c r="AC67" s="397"/>
      <c r="AD67" s="617"/>
      <c r="AE67" s="1137">
        <f>'Output 3'!EQ26/100</f>
        <v>0</v>
      </c>
      <c r="AF67" s="1137">
        <f>'Output 3'!EY26/100</f>
        <v>0</v>
      </c>
      <c r="AG67" s="654">
        <f t="shared" si="21"/>
        <v>6.25</v>
      </c>
      <c r="AH67" s="617"/>
      <c r="AI67" s="400"/>
      <c r="AJ67" s="397"/>
      <c r="AL67" s="611"/>
      <c r="AM67" s="612"/>
      <c r="AN67" s="613"/>
    </row>
    <row r="68" spans="1:40" ht="55.5" customHeight="1">
      <c r="A68" s="496">
        <v>17</v>
      </c>
      <c r="B68" s="497" t="s">
        <v>452</v>
      </c>
      <c r="C68" s="497" t="s">
        <v>447</v>
      </c>
      <c r="D68" s="497"/>
      <c r="E68" s="528" t="s">
        <v>408</v>
      </c>
      <c r="F68" s="668" t="s">
        <v>679</v>
      </c>
      <c r="G68" s="504" t="s">
        <v>528</v>
      </c>
      <c r="H68" s="499" t="s">
        <v>660</v>
      </c>
      <c r="I68" s="504"/>
      <c r="J68" s="390" t="s">
        <v>366</v>
      </c>
      <c r="K68" s="390" t="s">
        <v>229</v>
      </c>
      <c r="L68" s="416"/>
      <c r="M68" s="505"/>
      <c r="N68" s="501">
        <v>30</v>
      </c>
      <c r="O68" s="505">
        <v>0</v>
      </c>
      <c r="P68" s="505">
        <v>0</v>
      </c>
      <c r="Q68" s="505">
        <v>10</v>
      </c>
      <c r="R68" s="505">
        <v>10</v>
      </c>
      <c r="S68" s="505">
        <v>10</v>
      </c>
      <c r="T68" s="505">
        <v>0</v>
      </c>
      <c r="U68" s="502"/>
      <c r="V68" s="502">
        <f>'DMF PI Links Physical Prog.S1'!Q70</f>
        <v>2</v>
      </c>
      <c r="W68" s="603"/>
      <c r="X68" s="597">
        <f>'3. DMF Progress'!E30</f>
        <v>5.4</v>
      </c>
      <c r="Y68" s="602">
        <f>'3. DMF Progress'!F30</f>
        <v>0.10800000000000001</v>
      </c>
      <c r="Z68" s="654">
        <f t="shared" si="20"/>
        <v>2.5</v>
      </c>
      <c r="AA68" s="617">
        <f>'3. DMF Progress'!T30</f>
        <v>9.2000000000000011</v>
      </c>
      <c r="AB68" s="740">
        <f>'3. DMF Progress'!AS30</f>
        <v>0.14069999999999999</v>
      </c>
      <c r="AC68" s="397"/>
      <c r="AD68" s="617">
        <f>'3. DMF Progress'!U30</f>
        <v>12.800000000000002</v>
      </c>
      <c r="AE68" s="740">
        <f>'3. DMF Progress'!AT30</f>
        <v>0.32469999999999999</v>
      </c>
      <c r="AF68" s="740">
        <f>'3. DMF Progress'!AU30</f>
        <v>0.3967</v>
      </c>
      <c r="AG68" s="654">
        <f t="shared" si="21"/>
        <v>5</v>
      </c>
      <c r="AH68" s="617"/>
      <c r="AI68" s="400">
        <f t="shared" si="0"/>
        <v>0</v>
      </c>
      <c r="AJ68" s="397"/>
      <c r="AL68" s="611">
        <f>W68+Z68+AG68</f>
        <v>7.5</v>
      </c>
      <c r="AM68" s="612">
        <f>X68+AA68+AH68</f>
        <v>14.600000000000001</v>
      </c>
      <c r="AN68" s="688">
        <f>Y68+AB68+AI68</f>
        <v>0.2487</v>
      </c>
    </row>
    <row r="69" spans="1:40" ht="50.25" customHeight="1">
      <c r="A69" s="496"/>
      <c r="B69" s="497"/>
      <c r="C69" s="497"/>
      <c r="D69" s="497"/>
      <c r="E69" s="529" t="s">
        <v>624</v>
      </c>
      <c r="F69" s="667"/>
      <c r="G69" s="504"/>
      <c r="H69" s="499"/>
      <c r="I69" s="504"/>
      <c r="J69" s="390" t="s">
        <v>366</v>
      </c>
      <c r="K69" s="390" t="s">
        <v>229</v>
      </c>
      <c r="L69" s="416" t="s">
        <v>134</v>
      </c>
      <c r="M69" s="505">
        <v>0</v>
      </c>
      <c r="N69" s="501">
        <f>N68/2</f>
        <v>15</v>
      </c>
      <c r="O69" s="505">
        <v>0</v>
      </c>
      <c r="P69" s="505">
        <f>P68/2</f>
        <v>0</v>
      </c>
      <c r="Q69" s="505">
        <f t="shared" ref="Q69:T69" si="24">Q68/2</f>
        <v>5</v>
      </c>
      <c r="R69" s="505">
        <f t="shared" si="24"/>
        <v>5</v>
      </c>
      <c r="S69" s="505">
        <f t="shared" si="24"/>
        <v>5</v>
      </c>
      <c r="T69" s="505">
        <f t="shared" si="24"/>
        <v>0</v>
      </c>
      <c r="U69" s="502"/>
      <c r="V69" s="502"/>
      <c r="W69" s="603"/>
      <c r="X69" s="597"/>
      <c r="Y69" s="602"/>
      <c r="Z69" s="654">
        <f t="shared" si="20"/>
        <v>1.25</v>
      </c>
      <c r="AA69" s="617"/>
      <c r="AB69" s="1137">
        <f>'Output 3'!EI31/100</f>
        <v>0</v>
      </c>
      <c r="AC69" s="397"/>
      <c r="AD69" s="617"/>
      <c r="AE69" s="1137">
        <f>'Output 3'!EQ31/100</f>
        <v>0</v>
      </c>
      <c r="AF69" s="1137">
        <f>'Output 3'!EY31/100</f>
        <v>0</v>
      </c>
      <c r="AG69" s="654">
        <f t="shared" si="21"/>
        <v>2.5</v>
      </c>
      <c r="AH69" s="617"/>
      <c r="AI69" s="400"/>
      <c r="AJ69" s="397"/>
      <c r="AL69" s="611"/>
      <c r="AM69" s="612"/>
      <c r="AN69" s="613"/>
    </row>
    <row r="70" spans="1:40" ht="52.5" customHeight="1">
      <c r="A70" s="496"/>
      <c r="B70" s="497"/>
      <c r="C70" s="497"/>
      <c r="D70" s="497"/>
      <c r="E70" s="584" t="s">
        <v>625</v>
      </c>
      <c r="F70" s="667"/>
      <c r="G70" s="504"/>
      <c r="H70" s="499"/>
      <c r="I70" s="504"/>
      <c r="J70" s="390" t="s">
        <v>366</v>
      </c>
      <c r="K70" s="390" t="s">
        <v>229</v>
      </c>
      <c r="L70" s="416" t="s">
        <v>435</v>
      </c>
      <c r="M70" s="505">
        <v>0</v>
      </c>
      <c r="N70" s="501">
        <f>N68/2</f>
        <v>15</v>
      </c>
      <c r="O70" s="505">
        <v>0</v>
      </c>
      <c r="P70" s="505">
        <f>P68/2</f>
        <v>0</v>
      </c>
      <c r="Q70" s="505">
        <f t="shared" ref="Q70:T70" si="25">Q68/2</f>
        <v>5</v>
      </c>
      <c r="R70" s="505">
        <f t="shared" si="25"/>
        <v>5</v>
      </c>
      <c r="S70" s="505">
        <f t="shared" si="25"/>
        <v>5</v>
      </c>
      <c r="T70" s="505">
        <f t="shared" si="25"/>
        <v>0</v>
      </c>
      <c r="U70" s="502"/>
      <c r="V70" s="502"/>
      <c r="W70" s="603"/>
      <c r="X70" s="597"/>
      <c r="Y70" s="602"/>
      <c r="Z70" s="654">
        <f t="shared" si="20"/>
        <v>1.25</v>
      </c>
      <c r="AA70" s="617"/>
      <c r="AB70" s="1137">
        <f>'Output 3'!EI32/100</f>
        <v>0</v>
      </c>
      <c r="AC70" s="397"/>
      <c r="AD70" s="617"/>
      <c r="AE70" s="1137">
        <f>'Output 3'!EQ32/100</f>
        <v>0</v>
      </c>
      <c r="AF70" s="1137">
        <f>'Output 3'!EY32/100</f>
        <v>0</v>
      </c>
      <c r="AG70" s="654">
        <f t="shared" si="21"/>
        <v>2.5</v>
      </c>
      <c r="AH70" s="617"/>
      <c r="AI70" s="400"/>
      <c r="AJ70" s="397"/>
      <c r="AL70" s="611"/>
      <c r="AM70" s="612"/>
      <c r="AN70" s="613"/>
    </row>
    <row r="71" spans="1:40" ht="55.5" customHeight="1">
      <c r="A71" s="496">
        <v>18</v>
      </c>
      <c r="B71" s="497" t="s">
        <v>453</v>
      </c>
      <c r="C71" s="497" t="s">
        <v>449</v>
      </c>
      <c r="D71" s="497"/>
      <c r="E71" s="528" t="s">
        <v>659</v>
      </c>
      <c r="F71" s="668" t="s">
        <v>679</v>
      </c>
      <c r="G71" s="504" t="s">
        <v>368</v>
      </c>
      <c r="H71" s="499" t="s">
        <v>660</v>
      </c>
      <c r="I71" s="504"/>
      <c r="J71" s="390" t="s">
        <v>366</v>
      </c>
      <c r="K71" s="390" t="s">
        <v>229</v>
      </c>
      <c r="L71" s="416" t="s">
        <v>436</v>
      </c>
      <c r="M71" s="505">
        <v>0</v>
      </c>
      <c r="N71" s="501">
        <v>20000</v>
      </c>
      <c r="O71" s="505">
        <v>0</v>
      </c>
      <c r="P71" s="505">
        <v>0</v>
      </c>
      <c r="Q71" s="1136">
        <v>10000</v>
      </c>
      <c r="R71" s="505">
        <v>6000</v>
      </c>
      <c r="S71" s="505">
        <v>6000</v>
      </c>
      <c r="T71" s="505">
        <v>2500</v>
      </c>
      <c r="U71" s="502"/>
      <c r="V71" s="502">
        <f>'DMF PI Links Physical Prog.S1'!Q73</f>
        <v>2</v>
      </c>
      <c r="W71" s="603"/>
      <c r="X71" s="597">
        <f>'3. DMF Progress'!E31</f>
        <v>4.5</v>
      </c>
      <c r="Y71" s="602">
        <f>'3. DMF Progress'!F31</f>
        <v>0.09</v>
      </c>
      <c r="Z71" s="654">
        <f t="shared" si="20"/>
        <v>2500</v>
      </c>
      <c r="AA71" s="617">
        <f>'3. DMF Progress'!T31</f>
        <v>10.600000000000001</v>
      </c>
      <c r="AB71" s="740">
        <f>'3. DMF Progress'!AS31</f>
        <v>0.18479999999999999</v>
      </c>
      <c r="AC71" s="397"/>
      <c r="AD71" s="617">
        <f>'3. DMF Progress'!U31</f>
        <v>11.500000000000002</v>
      </c>
      <c r="AE71" s="740">
        <f>'3. DMF Progress'!AT31</f>
        <v>0.39680000000000004</v>
      </c>
      <c r="AF71" s="740">
        <f>'3. DMF Progress'!AU31</f>
        <v>0.41480000000000006</v>
      </c>
      <c r="AG71" s="654">
        <f t="shared" si="21"/>
        <v>5000</v>
      </c>
      <c r="AH71" s="617"/>
      <c r="AI71" s="400">
        <f t="shared" si="0"/>
        <v>0</v>
      </c>
      <c r="AJ71" s="397"/>
      <c r="AL71" s="611">
        <f t="shared" ref="AL71:AN72" si="26">W71+Z71+AG71</f>
        <v>7500</v>
      </c>
      <c r="AM71" s="612">
        <f t="shared" si="26"/>
        <v>15.100000000000001</v>
      </c>
      <c r="AN71" s="688">
        <f t="shared" si="26"/>
        <v>0.27479999999999999</v>
      </c>
    </row>
    <row r="72" spans="1:40" ht="56.25" customHeight="1">
      <c r="A72" s="496">
        <v>19</v>
      </c>
      <c r="B72" s="497" t="s">
        <v>454</v>
      </c>
      <c r="C72" s="497" t="s">
        <v>448</v>
      </c>
      <c r="D72" s="497"/>
      <c r="E72" s="528" t="s">
        <v>409</v>
      </c>
      <c r="F72" s="668" t="s">
        <v>679</v>
      </c>
      <c r="G72" s="504" t="s">
        <v>368</v>
      </c>
      <c r="H72" s="499" t="s">
        <v>660</v>
      </c>
      <c r="I72" s="504"/>
      <c r="J72" s="415" t="s">
        <v>366</v>
      </c>
      <c r="K72" s="415" t="s">
        <v>229</v>
      </c>
      <c r="L72" s="416" t="s">
        <v>700</v>
      </c>
      <c r="M72" s="505">
        <v>0</v>
      </c>
      <c r="N72" s="501">
        <v>1</v>
      </c>
      <c r="O72" s="505">
        <v>0</v>
      </c>
      <c r="P72" s="505">
        <v>0</v>
      </c>
      <c r="Q72" s="631">
        <v>0.3</v>
      </c>
      <c r="R72" s="631">
        <v>0.3</v>
      </c>
      <c r="S72" s="631">
        <v>0.3</v>
      </c>
      <c r="T72" s="631">
        <v>0.1</v>
      </c>
      <c r="U72" s="502"/>
      <c r="V72" s="502">
        <f>'DMF PI Links Physical Prog.S1'!Q74</f>
        <v>2</v>
      </c>
      <c r="W72" s="603"/>
      <c r="X72" s="597">
        <f>'3. DMF Progress'!E32</f>
        <v>4.5</v>
      </c>
      <c r="Y72" s="602">
        <f>'3. DMF Progress'!F32</f>
        <v>0.09</v>
      </c>
      <c r="Z72" s="654">
        <f t="shared" si="20"/>
        <v>7.4999999999999997E-2</v>
      </c>
      <c r="AA72" s="617">
        <f>'3. DMF Progress'!T32</f>
        <v>0</v>
      </c>
      <c r="AB72" s="740">
        <f>'3. DMF Progress'!AS32</f>
        <v>0</v>
      </c>
      <c r="AC72" s="397"/>
      <c r="AD72" s="617">
        <f>'3. DMF Progress'!U32</f>
        <v>0.75</v>
      </c>
      <c r="AE72" s="740">
        <f>'3. DMF Progress'!AT32</f>
        <v>0</v>
      </c>
      <c r="AF72" s="740">
        <f>'3. DMF Progress'!AU32</f>
        <v>1.4999999999999999E-2</v>
      </c>
      <c r="AG72" s="654">
        <f t="shared" si="21"/>
        <v>0.15</v>
      </c>
      <c r="AH72" s="617"/>
      <c r="AI72" s="400">
        <f t="shared" si="0"/>
        <v>0</v>
      </c>
      <c r="AJ72" s="397"/>
      <c r="AL72" s="611">
        <f t="shared" si="26"/>
        <v>0.22499999999999998</v>
      </c>
      <c r="AM72" s="612">
        <f t="shared" si="26"/>
        <v>4.5</v>
      </c>
      <c r="AN72" s="688">
        <f t="shared" si="26"/>
        <v>0.09</v>
      </c>
    </row>
    <row r="73" spans="1:40" ht="47.25" customHeight="1">
      <c r="A73" s="496"/>
      <c r="B73" s="497" t="s">
        <v>675</v>
      </c>
      <c r="C73" s="497" t="s">
        <v>673</v>
      </c>
      <c r="D73" s="660" t="s">
        <v>674</v>
      </c>
      <c r="E73" s="528" t="s">
        <v>18</v>
      </c>
      <c r="F73" s="668" t="s">
        <v>679</v>
      </c>
      <c r="G73" s="504"/>
      <c r="H73" s="499"/>
      <c r="I73" s="504"/>
      <c r="J73" s="415"/>
      <c r="K73" s="415"/>
      <c r="L73" s="416" t="s">
        <v>700</v>
      </c>
      <c r="M73" s="505"/>
      <c r="N73" s="501">
        <v>1</v>
      </c>
      <c r="O73" s="505">
        <v>0</v>
      </c>
      <c r="P73" s="505">
        <v>0</v>
      </c>
      <c r="Q73" s="631">
        <v>0.3</v>
      </c>
      <c r="R73" s="631">
        <v>0.3</v>
      </c>
      <c r="S73" s="631">
        <v>0.3</v>
      </c>
      <c r="T73" s="631">
        <v>0.1</v>
      </c>
      <c r="U73" s="502"/>
      <c r="V73" s="502">
        <f>'DMF PI Links Physical Prog.S1'!Q75</f>
        <v>3</v>
      </c>
      <c r="W73" s="500"/>
      <c r="X73" s="597">
        <f>'3. DMF Progress'!E33</f>
        <v>6.9</v>
      </c>
      <c r="Y73" s="602">
        <f>'3. DMF Progress'!F33</f>
        <v>0.20700000000000002</v>
      </c>
      <c r="Z73" s="654">
        <f t="shared" si="20"/>
        <v>7.4999999999999997E-2</v>
      </c>
      <c r="AA73" s="741">
        <f>'3. DMF Progress'!T33</f>
        <v>7.15</v>
      </c>
      <c r="AB73" s="740">
        <f>'3. DMF Progress'!AS33</f>
        <v>0.22522500000000001</v>
      </c>
      <c r="AC73" s="397"/>
      <c r="AD73" s="741">
        <f>'3. DMF Progress'!U33</f>
        <v>18.150000000000002</v>
      </c>
      <c r="AE73" s="740">
        <f>'3. DMF Progress'!AT33</f>
        <v>0.43972500000000003</v>
      </c>
      <c r="AF73" s="740">
        <f>'3. DMF Progress'!AU33</f>
        <v>0.76972499999999999</v>
      </c>
      <c r="AG73" s="654"/>
      <c r="AH73" s="617"/>
      <c r="AI73" s="400"/>
      <c r="AJ73" s="397"/>
      <c r="AL73" s="611"/>
      <c r="AM73" s="612"/>
      <c r="AN73" s="613"/>
    </row>
    <row r="74" spans="1:40" ht="1.5" customHeight="1">
      <c r="A74" s="520"/>
      <c r="B74" s="521"/>
      <c r="C74" s="521"/>
      <c r="D74" s="521"/>
      <c r="E74" s="522"/>
      <c r="F74" s="522"/>
      <c r="G74" s="523"/>
      <c r="H74" s="524"/>
      <c r="I74" s="523"/>
      <c r="J74" s="525"/>
      <c r="K74" s="525"/>
      <c r="L74" s="604"/>
      <c r="M74" s="604"/>
      <c r="N74" s="604"/>
      <c r="O74" s="604"/>
      <c r="P74" s="604"/>
      <c r="Q74" s="604"/>
      <c r="R74" s="604"/>
      <c r="S74" s="604"/>
      <c r="T74" s="604"/>
      <c r="U74" s="598"/>
      <c r="V74" s="701"/>
      <c r="W74" s="604"/>
      <c r="X74" s="598"/>
      <c r="Y74" s="604"/>
      <c r="Z74" s="604"/>
      <c r="AA74" s="604"/>
      <c r="AB74" s="526" t="e">
        <f t="shared" ref="AB74:AB142" si="27">AA74/Z74</f>
        <v>#DIV/0!</v>
      </c>
      <c r="AC74" s="522"/>
      <c r="AD74" s="1115"/>
      <c r="AE74" s="1115"/>
      <c r="AF74" s="1115"/>
      <c r="AG74" s="616">
        <f>P74/2</f>
        <v>0</v>
      </c>
      <c r="AH74" s="617"/>
      <c r="AI74" s="526" t="e">
        <f t="shared" si="0"/>
        <v>#DIV/0!</v>
      </c>
      <c r="AJ74" s="522"/>
      <c r="AL74" s="611"/>
      <c r="AM74" s="612"/>
      <c r="AN74" s="613"/>
    </row>
    <row r="75" spans="1:40" ht="35.1" hidden="1" customHeight="1">
      <c r="A75" s="506"/>
      <c r="B75" s="497"/>
      <c r="C75" s="497"/>
      <c r="D75" s="497"/>
      <c r="E75" s="512" t="s">
        <v>533</v>
      </c>
      <c r="F75" s="500"/>
      <c r="G75" s="500"/>
      <c r="H75" s="500"/>
      <c r="I75" s="500"/>
      <c r="J75" s="500"/>
      <c r="K75" s="500"/>
      <c r="L75" s="500"/>
      <c r="M75" s="500"/>
      <c r="N75" s="501"/>
      <c r="O75" s="505"/>
      <c r="P75" s="505"/>
      <c r="Q75" s="505"/>
      <c r="R75" s="505"/>
      <c r="S75" s="505"/>
      <c r="T75" s="505"/>
      <c r="U75" s="502"/>
      <c r="V75" s="502"/>
      <c r="W75" s="603"/>
      <c r="X75" s="500"/>
      <c r="Y75" s="608"/>
      <c r="Z75" s="616"/>
      <c r="AA75" s="617"/>
      <c r="AB75" s="400"/>
      <c r="AC75" s="397"/>
      <c r="AD75" s="1113"/>
      <c r="AE75" s="1113"/>
      <c r="AF75" s="1113"/>
      <c r="AG75" s="616"/>
      <c r="AH75" s="617"/>
      <c r="AI75" s="400"/>
      <c r="AJ75" s="397"/>
      <c r="AL75" s="611"/>
      <c r="AM75" s="612"/>
      <c r="AN75" s="613"/>
    </row>
    <row r="76" spans="1:40" s="572" customFormat="1" ht="35.1" hidden="1" customHeight="1">
      <c r="A76" s="574"/>
      <c r="B76" s="560"/>
      <c r="C76" s="560"/>
      <c r="D76" s="560"/>
      <c r="E76" s="561" t="s">
        <v>532</v>
      </c>
      <c r="F76" s="562"/>
      <c r="G76" s="563"/>
      <c r="H76" s="564"/>
      <c r="I76" s="563"/>
      <c r="J76" s="565"/>
      <c r="K76" s="565"/>
      <c r="L76" s="566"/>
      <c r="M76" s="567"/>
      <c r="N76" s="568"/>
      <c r="O76" s="567"/>
      <c r="P76" s="567"/>
      <c r="Q76" s="567"/>
      <c r="R76" s="567"/>
      <c r="S76" s="567"/>
      <c r="T76" s="567"/>
      <c r="U76" s="569"/>
      <c r="V76" s="569"/>
      <c r="W76" s="662"/>
      <c r="X76" s="614"/>
      <c r="Y76" s="663"/>
      <c r="Z76" s="627"/>
      <c r="AA76" s="628"/>
      <c r="AB76" s="630"/>
      <c r="AC76" s="562"/>
      <c r="AD76" s="1114"/>
      <c r="AE76" s="1114"/>
      <c r="AF76" s="1114"/>
      <c r="AG76" s="627"/>
      <c r="AH76" s="628"/>
      <c r="AI76" s="630"/>
      <c r="AJ76" s="562"/>
      <c r="AL76" s="611"/>
      <c r="AM76" s="612"/>
      <c r="AN76" s="613"/>
    </row>
    <row r="77" spans="1:40" s="550" customFormat="1" ht="35.1" hidden="1" customHeight="1">
      <c r="A77" s="573"/>
      <c r="B77" s="542"/>
      <c r="C77" s="542"/>
      <c r="D77" s="542"/>
      <c r="E77" s="518" t="s">
        <v>534</v>
      </c>
      <c r="F77" s="543"/>
      <c r="G77" s="544"/>
      <c r="H77" s="545"/>
      <c r="I77" s="544"/>
      <c r="J77" s="546"/>
      <c r="K77" s="546"/>
      <c r="L77" s="547"/>
      <c r="M77" s="548"/>
      <c r="N77" s="549"/>
      <c r="O77" s="406"/>
      <c r="P77" s="406"/>
      <c r="Q77" s="406"/>
      <c r="R77" s="406"/>
      <c r="S77" s="406"/>
      <c r="T77" s="406"/>
      <c r="U77" s="409"/>
      <c r="V77" s="409"/>
      <c r="W77" s="622"/>
      <c r="X77" s="623"/>
      <c r="Y77" s="624"/>
      <c r="Z77" s="625"/>
      <c r="AA77" s="617"/>
      <c r="AB77" s="626"/>
      <c r="AC77" s="543"/>
      <c r="AD77" s="1116"/>
      <c r="AE77" s="1116"/>
      <c r="AF77" s="1116"/>
      <c r="AG77" s="625"/>
      <c r="AH77" s="617"/>
      <c r="AI77" s="626"/>
      <c r="AJ77" s="543"/>
      <c r="AL77" s="611"/>
      <c r="AM77" s="612"/>
      <c r="AN77" s="613"/>
    </row>
    <row r="78" spans="1:40" ht="121.15" hidden="1" customHeight="1">
      <c r="A78" s="496">
        <v>20</v>
      </c>
      <c r="B78" s="497"/>
      <c r="C78" s="497" t="s">
        <v>517</v>
      </c>
      <c r="D78" s="497"/>
      <c r="E78" s="528" t="s">
        <v>554</v>
      </c>
      <c r="F78" s="668" t="s">
        <v>679</v>
      </c>
      <c r="G78" s="403" t="s">
        <v>607</v>
      </c>
      <c r="H78" s="404" t="s">
        <v>604</v>
      </c>
      <c r="I78" s="403" t="s">
        <v>531</v>
      </c>
      <c r="J78" s="390"/>
      <c r="K78" s="390"/>
      <c r="L78" s="416"/>
      <c r="M78" s="517" t="s">
        <v>515</v>
      </c>
      <c r="N78" s="408"/>
      <c r="O78" s="505"/>
      <c r="P78" s="505"/>
      <c r="Q78" s="505"/>
      <c r="R78" s="505"/>
      <c r="S78" s="505"/>
      <c r="T78" s="505"/>
      <c r="U78" s="502"/>
      <c r="V78" s="502"/>
      <c r="W78" s="603"/>
      <c r="X78" s="597"/>
      <c r="Y78" s="602"/>
      <c r="Z78" s="654">
        <f t="shared" ref="Z78:Z84" si="28">Q78/2</f>
        <v>0</v>
      </c>
      <c r="AA78" s="617"/>
      <c r="AB78" s="400" t="e">
        <f t="shared" si="27"/>
        <v>#DIV/0!</v>
      </c>
      <c r="AC78" s="397"/>
      <c r="AD78" s="1113"/>
      <c r="AE78" s="1113"/>
      <c r="AF78" s="1113"/>
      <c r="AG78" s="654">
        <f t="shared" ref="AG78:AG84" si="29">Q78/2</f>
        <v>0</v>
      </c>
      <c r="AH78" s="617"/>
      <c r="AI78" s="400" t="e">
        <f t="shared" si="0"/>
        <v>#DIV/0!</v>
      </c>
      <c r="AJ78" s="397"/>
      <c r="AL78" s="611"/>
      <c r="AM78" s="612"/>
      <c r="AN78" s="613"/>
    </row>
    <row r="79" spans="1:40" ht="33" hidden="1" customHeight="1">
      <c r="A79" s="506"/>
      <c r="B79" s="497"/>
      <c r="C79" s="497" t="s">
        <v>561</v>
      </c>
      <c r="D79" s="497"/>
      <c r="E79" s="503" t="s">
        <v>556</v>
      </c>
      <c r="F79" s="667"/>
      <c r="G79" s="403"/>
      <c r="H79" s="404"/>
      <c r="I79" s="403"/>
      <c r="J79" s="390" t="s">
        <v>365</v>
      </c>
      <c r="K79" s="390" t="s">
        <v>229</v>
      </c>
      <c r="L79" s="416" t="s">
        <v>362</v>
      </c>
      <c r="M79" s="517" t="s">
        <v>515</v>
      </c>
      <c r="N79" s="408">
        <v>40</v>
      </c>
      <c r="O79" s="505"/>
      <c r="P79" s="505"/>
      <c r="Q79" s="505"/>
      <c r="R79" s="505"/>
      <c r="S79" s="505"/>
      <c r="T79" s="505"/>
      <c r="U79" s="502"/>
      <c r="V79" s="502"/>
      <c r="W79" s="603"/>
      <c r="X79" s="597"/>
      <c r="Y79" s="602"/>
      <c r="Z79" s="654">
        <f t="shared" si="28"/>
        <v>0</v>
      </c>
      <c r="AA79" s="617"/>
      <c r="AB79" s="400" t="e">
        <f t="shared" si="27"/>
        <v>#DIV/0!</v>
      </c>
      <c r="AC79" s="397"/>
      <c r="AD79" s="1113"/>
      <c r="AE79" s="1113"/>
      <c r="AF79" s="1113"/>
      <c r="AG79" s="654">
        <f t="shared" si="29"/>
        <v>0</v>
      </c>
      <c r="AH79" s="617"/>
      <c r="AI79" s="400" t="e">
        <f t="shared" si="0"/>
        <v>#DIV/0!</v>
      </c>
      <c r="AJ79" s="397"/>
      <c r="AL79" s="611"/>
      <c r="AM79" s="612"/>
      <c r="AN79" s="613"/>
    </row>
    <row r="80" spans="1:40" ht="33" hidden="1" customHeight="1">
      <c r="A80" s="506"/>
      <c r="B80" s="497"/>
      <c r="C80" s="497"/>
      <c r="D80" s="497"/>
      <c r="E80" s="503" t="s">
        <v>558</v>
      </c>
      <c r="F80" s="667"/>
      <c r="G80" s="403"/>
      <c r="H80" s="404"/>
      <c r="I80" s="403"/>
      <c r="J80" s="390" t="s">
        <v>365</v>
      </c>
      <c r="K80" s="390" t="s">
        <v>229</v>
      </c>
      <c r="L80" s="416" t="s">
        <v>362</v>
      </c>
      <c r="M80" s="517" t="s">
        <v>515</v>
      </c>
      <c r="N80" s="408">
        <v>54</v>
      </c>
      <c r="O80" s="505"/>
      <c r="P80" s="505"/>
      <c r="Q80" s="505"/>
      <c r="R80" s="505"/>
      <c r="S80" s="505"/>
      <c r="T80" s="505"/>
      <c r="U80" s="502"/>
      <c r="V80" s="502"/>
      <c r="W80" s="603"/>
      <c r="X80" s="597"/>
      <c r="Y80" s="602"/>
      <c r="Z80" s="654">
        <f t="shared" si="28"/>
        <v>0</v>
      </c>
      <c r="AA80" s="617"/>
      <c r="AB80" s="400"/>
      <c r="AC80" s="397"/>
      <c r="AD80" s="1113"/>
      <c r="AE80" s="1113"/>
      <c r="AF80" s="1113"/>
      <c r="AG80" s="654">
        <f t="shared" si="29"/>
        <v>0</v>
      </c>
      <c r="AH80" s="617"/>
      <c r="AI80" s="400"/>
      <c r="AJ80" s="397"/>
      <c r="AL80" s="611"/>
      <c r="AM80" s="612"/>
      <c r="AN80" s="613"/>
    </row>
    <row r="81" spans="1:40" ht="33" hidden="1" customHeight="1">
      <c r="A81" s="506"/>
      <c r="B81" s="497"/>
      <c r="C81" s="497"/>
      <c r="D81" s="497"/>
      <c r="E81" s="503" t="s">
        <v>559</v>
      </c>
      <c r="F81" s="667"/>
      <c r="G81" s="403"/>
      <c r="H81" s="404"/>
      <c r="I81" s="403"/>
      <c r="J81" s="390" t="s">
        <v>365</v>
      </c>
      <c r="K81" s="390" t="s">
        <v>229</v>
      </c>
      <c r="L81" s="416" t="s">
        <v>362</v>
      </c>
      <c r="M81" s="517" t="s">
        <v>515</v>
      </c>
      <c r="N81" s="408">
        <v>47</v>
      </c>
      <c r="O81" s="505"/>
      <c r="P81" s="505"/>
      <c r="Q81" s="505"/>
      <c r="R81" s="505"/>
      <c r="S81" s="505"/>
      <c r="T81" s="505"/>
      <c r="U81" s="502"/>
      <c r="V81" s="502"/>
      <c r="W81" s="603"/>
      <c r="X81" s="597"/>
      <c r="Y81" s="602"/>
      <c r="Z81" s="654">
        <f t="shared" si="28"/>
        <v>0</v>
      </c>
      <c r="AA81" s="617"/>
      <c r="AB81" s="400"/>
      <c r="AC81" s="397"/>
      <c r="AD81" s="1113"/>
      <c r="AE81" s="1113"/>
      <c r="AF81" s="1113"/>
      <c r="AG81" s="654">
        <f t="shared" si="29"/>
        <v>0</v>
      </c>
      <c r="AH81" s="617"/>
      <c r="AI81" s="400"/>
      <c r="AJ81" s="397"/>
      <c r="AL81" s="611"/>
      <c r="AM81" s="612"/>
      <c r="AN81" s="613"/>
    </row>
    <row r="82" spans="1:40" ht="33" hidden="1" customHeight="1">
      <c r="A82" s="506"/>
      <c r="B82" s="497"/>
      <c r="C82" s="497"/>
      <c r="D82" s="497"/>
      <c r="E82" s="503" t="s">
        <v>560</v>
      </c>
      <c r="F82" s="667"/>
      <c r="G82" s="403"/>
      <c r="H82" s="404"/>
      <c r="I82" s="403"/>
      <c r="J82" s="390" t="s">
        <v>365</v>
      </c>
      <c r="K82" s="390" t="s">
        <v>229</v>
      </c>
      <c r="L82" s="416" t="s">
        <v>362</v>
      </c>
      <c r="M82" s="517" t="s">
        <v>515</v>
      </c>
      <c r="N82" s="408">
        <v>48</v>
      </c>
      <c r="O82" s="505"/>
      <c r="P82" s="505"/>
      <c r="Q82" s="505"/>
      <c r="R82" s="505"/>
      <c r="S82" s="505"/>
      <c r="T82" s="505"/>
      <c r="U82" s="502"/>
      <c r="V82" s="502"/>
      <c r="W82" s="603"/>
      <c r="X82" s="597"/>
      <c r="Y82" s="602"/>
      <c r="Z82" s="654">
        <f t="shared" si="28"/>
        <v>0</v>
      </c>
      <c r="AA82" s="617"/>
      <c r="AB82" s="400"/>
      <c r="AC82" s="397"/>
      <c r="AD82" s="1113"/>
      <c r="AE82" s="1113"/>
      <c r="AF82" s="1113"/>
      <c r="AG82" s="654">
        <f t="shared" si="29"/>
        <v>0</v>
      </c>
      <c r="AH82" s="617"/>
      <c r="AI82" s="400"/>
      <c r="AJ82" s="397"/>
      <c r="AL82" s="611"/>
      <c r="AM82" s="612"/>
      <c r="AN82" s="613"/>
    </row>
    <row r="83" spans="1:40" ht="33" hidden="1" customHeight="1">
      <c r="A83" s="506"/>
      <c r="B83" s="497"/>
      <c r="C83" s="497"/>
      <c r="D83" s="497"/>
      <c r="E83" s="503" t="s">
        <v>557</v>
      </c>
      <c r="F83" s="667"/>
      <c r="G83" s="403"/>
      <c r="H83" s="404"/>
      <c r="I83" s="403"/>
      <c r="J83" s="390" t="s">
        <v>365</v>
      </c>
      <c r="K83" s="390" t="s">
        <v>229</v>
      </c>
      <c r="L83" s="416" t="s">
        <v>362</v>
      </c>
      <c r="M83" s="517" t="s">
        <v>515</v>
      </c>
      <c r="N83" s="408">
        <v>30</v>
      </c>
      <c r="O83" s="505"/>
      <c r="P83" s="505"/>
      <c r="Q83" s="505"/>
      <c r="R83" s="505"/>
      <c r="S83" s="505"/>
      <c r="T83" s="505"/>
      <c r="U83" s="502"/>
      <c r="V83" s="502"/>
      <c r="W83" s="603"/>
      <c r="X83" s="597"/>
      <c r="Y83" s="602"/>
      <c r="Z83" s="654">
        <f t="shared" si="28"/>
        <v>0</v>
      </c>
      <c r="AA83" s="617"/>
      <c r="AB83" s="400"/>
      <c r="AC83" s="397"/>
      <c r="AD83" s="1113"/>
      <c r="AE83" s="1113"/>
      <c r="AF83" s="1113"/>
      <c r="AG83" s="654">
        <f t="shared" si="29"/>
        <v>0</v>
      </c>
      <c r="AH83" s="617"/>
      <c r="AI83" s="400"/>
      <c r="AJ83" s="397"/>
      <c r="AL83" s="611"/>
      <c r="AM83" s="612"/>
      <c r="AN83" s="613"/>
    </row>
    <row r="84" spans="1:40" ht="56.45" hidden="1" customHeight="1">
      <c r="A84" s="506"/>
      <c r="B84" s="497"/>
      <c r="C84" s="497" t="s">
        <v>562</v>
      </c>
      <c r="D84" s="497"/>
      <c r="E84" s="503" t="s">
        <v>555</v>
      </c>
      <c r="F84" s="667"/>
      <c r="G84" s="403"/>
      <c r="H84" s="404"/>
      <c r="I84" s="403"/>
      <c r="J84" s="390" t="s">
        <v>365</v>
      </c>
      <c r="K84" s="390" t="s">
        <v>229</v>
      </c>
      <c r="L84" s="416" t="s">
        <v>134</v>
      </c>
      <c r="M84" s="517" t="s">
        <v>515</v>
      </c>
      <c r="N84" s="408">
        <v>50000</v>
      </c>
      <c r="O84" s="505"/>
      <c r="P84" s="505"/>
      <c r="Q84" s="505"/>
      <c r="R84" s="505"/>
      <c r="S84" s="505"/>
      <c r="T84" s="505"/>
      <c r="U84" s="502"/>
      <c r="V84" s="502"/>
      <c r="W84" s="603"/>
      <c r="X84" s="597"/>
      <c r="Y84" s="602"/>
      <c r="Z84" s="654">
        <f t="shared" si="28"/>
        <v>0</v>
      </c>
      <c r="AA84" s="617"/>
      <c r="AB84" s="400"/>
      <c r="AC84" s="397"/>
      <c r="AD84" s="1113"/>
      <c r="AE84" s="1113"/>
      <c r="AF84" s="1113"/>
      <c r="AG84" s="654">
        <f t="shared" si="29"/>
        <v>0</v>
      </c>
      <c r="AH84" s="617"/>
      <c r="AI84" s="400"/>
      <c r="AJ84" s="397"/>
      <c r="AL84" s="611"/>
      <c r="AM84" s="612"/>
      <c r="AN84" s="613"/>
    </row>
    <row r="85" spans="1:40" s="550" customFormat="1" ht="35.1" hidden="1" customHeight="1">
      <c r="A85" s="573"/>
      <c r="B85" s="542"/>
      <c r="C85" s="542"/>
      <c r="D85" s="542"/>
      <c r="E85" s="518" t="s">
        <v>535</v>
      </c>
      <c r="F85" s="543"/>
      <c r="G85" s="544"/>
      <c r="H85" s="545"/>
      <c r="I85" s="544"/>
      <c r="J85" s="546"/>
      <c r="K85" s="546"/>
      <c r="L85" s="547"/>
      <c r="M85" s="548"/>
      <c r="N85" s="549"/>
      <c r="O85" s="406"/>
      <c r="P85" s="406"/>
      <c r="Q85" s="406"/>
      <c r="R85" s="406"/>
      <c r="S85" s="406"/>
      <c r="T85" s="406"/>
      <c r="U85" s="409"/>
      <c r="V85" s="409"/>
      <c r="W85" s="622"/>
      <c r="X85" s="623"/>
      <c r="Y85" s="624"/>
      <c r="Z85" s="625"/>
      <c r="AA85" s="617"/>
      <c r="AB85" s="626"/>
      <c r="AC85" s="543"/>
      <c r="AD85" s="1116"/>
      <c r="AE85" s="1116"/>
      <c r="AF85" s="1116"/>
      <c r="AG85" s="625"/>
      <c r="AH85" s="617"/>
      <c r="AI85" s="626"/>
      <c r="AJ85" s="543"/>
      <c r="AL85" s="611"/>
      <c r="AM85" s="612"/>
      <c r="AN85" s="613"/>
    </row>
    <row r="86" spans="1:40" ht="94.15" hidden="1" customHeight="1">
      <c r="A86" s="496">
        <v>21</v>
      </c>
      <c r="B86" s="497"/>
      <c r="C86" s="497" t="s">
        <v>529</v>
      </c>
      <c r="D86" s="497"/>
      <c r="E86" s="528" t="s">
        <v>563</v>
      </c>
      <c r="F86" s="668" t="s">
        <v>679</v>
      </c>
      <c r="G86" s="403" t="s">
        <v>607</v>
      </c>
      <c r="H86" s="404" t="s">
        <v>604</v>
      </c>
      <c r="I86" s="403" t="s">
        <v>530</v>
      </c>
      <c r="J86" s="390" t="s">
        <v>365</v>
      </c>
      <c r="K86" s="390" t="s">
        <v>229</v>
      </c>
      <c r="L86" s="416" t="s">
        <v>362</v>
      </c>
      <c r="M86" s="508" t="s">
        <v>515</v>
      </c>
      <c r="N86" s="408">
        <v>25</v>
      </c>
      <c r="O86" s="505"/>
      <c r="P86" s="505"/>
      <c r="Q86" s="505"/>
      <c r="R86" s="505"/>
      <c r="S86" s="505"/>
      <c r="T86" s="505"/>
      <c r="U86" s="502"/>
      <c r="V86" s="502"/>
      <c r="W86" s="603"/>
      <c r="X86" s="597"/>
      <c r="Y86" s="602"/>
      <c r="Z86" s="654">
        <f>Q86/2</f>
        <v>0</v>
      </c>
      <c r="AA86" s="617"/>
      <c r="AB86" s="400" t="e">
        <f t="shared" si="27"/>
        <v>#DIV/0!</v>
      </c>
      <c r="AC86" s="397"/>
      <c r="AD86" s="1113"/>
      <c r="AE86" s="1113"/>
      <c r="AF86" s="1113"/>
      <c r="AG86" s="654">
        <f>Q86/2</f>
        <v>0</v>
      </c>
      <c r="AH86" s="617"/>
      <c r="AI86" s="400" t="e">
        <f t="shared" si="0"/>
        <v>#DIV/0!</v>
      </c>
      <c r="AJ86" s="397"/>
      <c r="AL86" s="611"/>
      <c r="AM86" s="612"/>
      <c r="AN86" s="613"/>
    </row>
    <row r="87" spans="1:40" ht="42.75" hidden="1" customHeight="1">
      <c r="A87" s="506"/>
      <c r="B87" s="497"/>
      <c r="C87" s="497"/>
      <c r="D87" s="497"/>
      <c r="E87" s="529" t="s">
        <v>637</v>
      </c>
      <c r="F87" s="667"/>
      <c r="G87" s="403"/>
      <c r="H87" s="404"/>
      <c r="I87" s="403"/>
      <c r="J87" s="390" t="s">
        <v>365</v>
      </c>
      <c r="K87" s="390" t="s">
        <v>229</v>
      </c>
      <c r="L87" s="416" t="s">
        <v>362</v>
      </c>
      <c r="M87" s="508" t="s">
        <v>515</v>
      </c>
      <c r="N87" s="408">
        <v>25</v>
      </c>
      <c r="O87" s="505"/>
      <c r="P87" s="505"/>
      <c r="Q87" s="505"/>
      <c r="R87" s="505"/>
      <c r="S87" s="505"/>
      <c r="T87" s="505"/>
      <c r="U87" s="502"/>
      <c r="V87" s="502"/>
      <c r="W87" s="603"/>
      <c r="X87" s="597"/>
      <c r="Y87" s="602"/>
      <c r="Z87" s="654">
        <f>Q87/2</f>
        <v>0</v>
      </c>
      <c r="AA87" s="617"/>
      <c r="AB87" s="400"/>
      <c r="AC87" s="397"/>
      <c r="AD87" s="1113"/>
      <c r="AE87" s="1113"/>
      <c r="AF87" s="1113"/>
      <c r="AG87" s="654">
        <f>Q87/2</f>
        <v>0</v>
      </c>
      <c r="AH87" s="617"/>
      <c r="AI87" s="400"/>
      <c r="AJ87" s="397"/>
      <c r="AL87" s="611"/>
      <c r="AM87" s="612"/>
      <c r="AN87" s="613"/>
    </row>
    <row r="88" spans="1:40" ht="43.5" hidden="1" customHeight="1">
      <c r="A88" s="506"/>
      <c r="B88" s="497"/>
      <c r="C88" s="497"/>
      <c r="D88" s="497"/>
      <c r="E88" s="529" t="s">
        <v>638</v>
      </c>
      <c r="F88" s="667"/>
      <c r="G88" s="403"/>
      <c r="H88" s="404"/>
      <c r="I88" s="403"/>
      <c r="J88" s="390" t="s">
        <v>365</v>
      </c>
      <c r="K88" s="390" t="s">
        <v>229</v>
      </c>
      <c r="L88" s="416" t="s">
        <v>362</v>
      </c>
      <c r="M88" s="508" t="s">
        <v>515</v>
      </c>
      <c r="N88" s="408"/>
      <c r="O88" s="505"/>
      <c r="P88" s="505"/>
      <c r="Q88" s="505"/>
      <c r="R88" s="505"/>
      <c r="S88" s="505"/>
      <c r="T88" s="505"/>
      <c r="U88" s="502"/>
      <c r="V88" s="502"/>
      <c r="W88" s="603"/>
      <c r="X88" s="597"/>
      <c r="Y88" s="602"/>
      <c r="Z88" s="654">
        <f>Q88/2</f>
        <v>0</v>
      </c>
      <c r="AA88" s="617"/>
      <c r="AB88" s="400"/>
      <c r="AC88" s="397"/>
      <c r="AD88" s="1113"/>
      <c r="AE88" s="1113"/>
      <c r="AF88" s="1113"/>
      <c r="AG88" s="654">
        <f>Q88/2</f>
        <v>0</v>
      </c>
      <c r="AH88" s="617"/>
      <c r="AI88" s="400"/>
      <c r="AJ88" s="397"/>
      <c r="AL88" s="611"/>
      <c r="AM88" s="612"/>
      <c r="AN88" s="613"/>
    </row>
    <row r="89" spans="1:40" ht="80.25" hidden="1" customHeight="1">
      <c r="A89" s="506"/>
      <c r="B89" s="497"/>
      <c r="C89" s="497"/>
      <c r="D89" s="497"/>
      <c r="E89" s="529" t="s">
        <v>639</v>
      </c>
      <c r="F89" s="667"/>
      <c r="G89" s="403"/>
      <c r="H89" s="404"/>
      <c r="I89" s="403"/>
      <c r="J89" s="390" t="s">
        <v>365</v>
      </c>
      <c r="K89" s="390" t="s">
        <v>229</v>
      </c>
      <c r="L89" s="416" t="s">
        <v>362</v>
      </c>
      <c r="M89" s="508" t="s">
        <v>515</v>
      </c>
      <c r="N89" s="408" t="s">
        <v>564</v>
      </c>
      <c r="O89" s="505"/>
      <c r="P89" s="505"/>
      <c r="Q89" s="505"/>
      <c r="R89" s="505"/>
      <c r="S89" s="505"/>
      <c r="T89" s="505"/>
      <c r="U89" s="502"/>
      <c r="V89" s="502"/>
      <c r="W89" s="603"/>
      <c r="X89" s="597"/>
      <c r="Y89" s="602"/>
      <c r="Z89" s="654">
        <f>Q89/2</f>
        <v>0</v>
      </c>
      <c r="AA89" s="617"/>
      <c r="AB89" s="400"/>
      <c r="AC89" s="397"/>
      <c r="AD89" s="1113"/>
      <c r="AE89" s="1113"/>
      <c r="AF89" s="1113"/>
      <c r="AG89" s="654">
        <f>Q89/2</f>
        <v>0</v>
      </c>
      <c r="AH89" s="617"/>
      <c r="AI89" s="400"/>
      <c r="AJ89" s="397"/>
      <c r="AL89" s="611"/>
      <c r="AM89" s="612"/>
      <c r="AN89" s="613"/>
    </row>
    <row r="90" spans="1:40" ht="43.15" hidden="1" customHeight="1">
      <c r="A90" s="496">
        <v>22</v>
      </c>
      <c r="B90" s="497"/>
      <c r="C90" s="497" t="s">
        <v>537</v>
      </c>
      <c r="D90" s="497"/>
      <c r="E90" s="498" t="s">
        <v>536</v>
      </c>
      <c r="F90" s="668" t="s">
        <v>679</v>
      </c>
      <c r="G90" s="403" t="s">
        <v>607</v>
      </c>
      <c r="H90" s="404" t="s">
        <v>604</v>
      </c>
      <c r="I90" s="403" t="s">
        <v>538</v>
      </c>
      <c r="J90" s="390" t="s">
        <v>365</v>
      </c>
      <c r="K90" s="390" t="s">
        <v>229</v>
      </c>
      <c r="L90" s="416" t="s">
        <v>362</v>
      </c>
      <c r="M90" s="508" t="s">
        <v>515</v>
      </c>
      <c r="N90" s="408">
        <v>30</v>
      </c>
      <c r="O90" s="505"/>
      <c r="P90" s="505"/>
      <c r="Q90" s="505"/>
      <c r="R90" s="505"/>
      <c r="S90" s="505"/>
      <c r="T90" s="505"/>
      <c r="U90" s="502"/>
      <c r="V90" s="502"/>
      <c r="W90" s="603"/>
      <c r="X90" s="597"/>
      <c r="Y90" s="602"/>
      <c r="Z90" s="654">
        <f>Q90/2</f>
        <v>0</v>
      </c>
      <c r="AA90" s="617"/>
      <c r="AB90" s="400" t="e">
        <f t="shared" si="27"/>
        <v>#DIV/0!</v>
      </c>
      <c r="AC90" s="397"/>
      <c r="AD90" s="1113"/>
      <c r="AE90" s="1113"/>
      <c r="AF90" s="1113"/>
      <c r="AG90" s="654">
        <f>Q90/2</f>
        <v>0</v>
      </c>
      <c r="AH90" s="617"/>
      <c r="AI90" s="400" t="e">
        <f t="shared" si="0"/>
        <v>#DIV/0!</v>
      </c>
      <c r="AJ90" s="397"/>
      <c r="AL90" s="611"/>
      <c r="AM90" s="612"/>
      <c r="AN90" s="613"/>
    </row>
    <row r="91" spans="1:40" s="550" customFormat="1" ht="35.1" hidden="1" customHeight="1">
      <c r="A91" s="573"/>
      <c r="B91" s="542"/>
      <c r="C91" s="542"/>
      <c r="D91" s="542"/>
      <c r="E91" s="518" t="s">
        <v>539</v>
      </c>
      <c r="F91" s="543"/>
      <c r="G91" s="544"/>
      <c r="H91" s="545"/>
      <c r="I91" s="544"/>
      <c r="J91" s="546"/>
      <c r="K91" s="546"/>
      <c r="L91" s="547"/>
      <c r="M91" s="548"/>
      <c r="N91" s="549"/>
      <c r="O91" s="406"/>
      <c r="P91" s="406"/>
      <c r="Q91" s="406"/>
      <c r="R91" s="406"/>
      <c r="S91" s="406"/>
      <c r="T91" s="406"/>
      <c r="U91" s="409"/>
      <c r="V91" s="409"/>
      <c r="W91" s="622"/>
      <c r="X91" s="623"/>
      <c r="Y91" s="624"/>
      <c r="Z91" s="625"/>
      <c r="AA91" s="617"/>
      <c r="AB91" s="626"/>
      <c r="AC91" s="543"/>
      <c r="AD91" s="1116"/>
      <c r="AE91" s="1116"/>
      <c r="AF91" s="1116"/>
      <c r="AG91" s="625"/>
      <c r="AH91" s="617"/>
      <c r="AI91" s="626"/>
      <c r="AJ91" s="543"/>
      <c r="AL91" s="611"/>
      <c r="AM91" s="612"/>
      <c r="AN91" s="613"/>
    </row>
    <row r="92" spans="1:40" ht="66" hidden="1" customHeight="1">
      <c r="A92" s="496">
        <v>23</v>
      </c>
      <c r="B92" s="497"/>
      <c r="C92" s="497" t="s">
        <v>565</v>
      </c>
      <c r="D92" s="497"/>
      <c r="E92" s="528" t="s">
        <v>580</v>
      </c>
      <c r="F92" s="668" t="s">
        <v>679</v>
      </c>
      <c r="G92" s="403" t="s">
        <v>607</v>
      </c>
      <c r="H92" s="404" t="s">
        <v>604</v>
      </c>
      <c r="I92" s="403" t="s">
        <v>540</v>
      </c>
      <c r="J92" s="390" t="s">
        <v>365</v>
      </c>
      <c r="K92" s="390" t="s">
        <v>229</v>
      </c>
      <c r="L92" s="416"/>
      <c r="M92" s="408"/>
      <c r="N92" s="408"/>
      <c r="O92" s="505"/>
      <c r="P92" s="505"/>
      <c r="Q92" s="505"/>
      <c r="R92" s="505"/>
      <c r="S92" s="505"/>
      <c r="T92" s="505"/>
      <c r="U92" s="502"/>
      <c r="V92" s="502"/>
      <c r="W92" s="603"/>
      <c r="X92" s="597"/>
      <c r="Y92" s="602"/>
      <c r="Z92" s="654">
        <f t="shared" ref="Z92:Z98" si="30">Q92/2</f>
        <v>0</v>
      </c>
      <c r="AA92" s="617"/>
      <c r="AB92" s="400" t="e">
        <f t="shared" si="27"/>
        <v>#DIV/0!</v>
      </c>
      <c r="AC92" s="397"/>
      <c r="AD92" s="1113"/>
      <c r="AE92" s="1113"/>
      <c r="AF92" s="1113"/>
      <c r="AG92" s="654">
        <f t="shared" ref="AG92:AG98" si="31">Q92/2</f>
        <v>0</v>
      </c>
      <c r="AH92" s="617"/>
      <c r="AI92" s="400" t="e">
        <f t="shared" si="0"/>
        <v>#DIV/0!</v>
      </c>
      <c r="AJ92" s="397"/>
      <c r="AL92" s="611"/>
      <c r="AM92" s="612"/>
      <c r="AN92" s="613"/>
    </row>
    <row r="93" spans="1:40" ht="66" hidden="1" customHeight="1">
      <c r="A93" s="506"/>
      <c r="B93" s="497"/>
      <c r="C93" s="497"/>
      <c r="D93" s="497"/>
      <c r="E93" s="529" t="s">
        <v>566</v>
      </c>
      <c r="F93" s="667"/>
      <c r="G93" s="403"/>
      <c r="H93" s="404"/>
      <c r="I93" s="403"/>
      <c r="J93" s="390" t="s">
        <v>365</v>
      </c>
      <c r="K93" s="390" t="s">
        <v>229</v>
      </c>
      <c r="L93" s="416" t="s">
        <v>435</v>
      </c>
      <c r="M93" s="408">
        <v>5721</v>
      </c>
      <c r="N93" s="408">
        <v>40000</v>
      </c>
      <c r="O93" s="505"/>
      <c r="P93" s="505"/>
      <c r="Q93" s="505"/>
      <c r="R93" s="505"/>
      <c r="S93" s="505"/>
      <c r="T93" s="505"/>
      <c r="U93" s="502"/>
      <c r="V93" s="502"/>
      <c r="W93" s="603"/>
      <c r="X93" s="597"/>
      <c r="Y93" s="602"/>
      <c r="Z93" s="654">
        <f t="shared" si="30"/>
        <v>0</v>
      </c>
      <c r="AA93" s="617"/>
      <c r="AB93" s="400"/>
      <c r="AC93" s="397"/>
      <c r="AD93" s="1113"/>
      <c r="AE93" s="1113"/>
      <c r="AF93" s="1113"/>
      <c r="AG93" s="654">
        <f t="shared" si="31"/>
        <v>0</v>
      </c>
      <c r="AH93" s="617"/>
      <c r="AI93" s="400"/>
      <c r="AJ93" s="397"/>
      <c r="AL93" s="611"/>
      <c r="AM93" s="612"/>
      <c r="AN93" s="613"/>
    </row>
    <row r="94" spans="1:40" ht="66" hidden="1" customHeight="1">
      <c r="A94" s="506"/>
      <c r="B94" s="497"/>
      <c r="C94" s="497"/>
      <c r="D94" s="497"/>
      <c r="E94" s="529" t="s">
        <v>633</v>
      </c>
      <c r="F94" s="667"/>
      <c r="G94" s="403"/>
      <c r="H94" s="404"/>
      <c r="I94" s="403"/>
      <c r="J94" s="390" t="s">
        <v>365</v>
      </c>
      <c r="K94" s="390" t="s">
        <v>229</v>
      </c>
      <c r="L94" s="416" t="s">
        <v>435</v>
      </c>
      <c r="M94" s="407">
        <f>25%*M93</f>
        <v>1430.25</v>
      </c>
      <c r="N94" s="408">
        <f>25%*N93</f>
        <v>10000</v>
      </c>
      <c r="O94" s="505"/>
      <c r="P94" s="505"/>
      <c r="Q94" s="505"/>
      <c r="R94" s="505"/>
      <c r="S94" s="505"/>
      <c r="T94" s="505"/>
      <c r="U94" s="502"/>
      <c r="V94" s="502"/>
      <c r="W94" s="603"/>
      <c r="X94" s="597"/>
      <c r="Y94" s="602"/>
      <c r="Z94" s="654">
        <f t="shared" si="30"/>
        <v>0</v>
      </c>
      <c r="AA94" s="617"/>
      <c r="AB94" s="400"/>
      <c r="AC94" s="397"/>
      <c r="AD94" s="1113"/>
      <c r="AE94" s="1113"/>
      <c r="AF94" s="1113"/>
      <c r="AG94" s="654">
        <f t="shared" si="31"/>
        <v>0</v>
      </c>
      <c r="AH94" s="617"/>
      <c r="AI94" s="400"/>
      <c r="AJ94" s="397"/>
      <c r="AL94" s="611"/>
      <c r="AM94" s="612"/>
      <c r="AN94" s="613"/>
    </row>
    <row r="95" spans="1:40" ht="66" hidden="1" customHeight="1">
      <c r="A95" s="506"/>
      <c r="B95" s="497"/>
      <c r="C95" s="497"/>
      <c r="D95" s="497"/>
      <c r="E95" s="529" t="s">
        <v>634</v>
      </c>
      <c r="F95" s="667"/>
      <c r="G95" s="403"/>
      <c r="H95" s="404"/>
      <c r="I95" s="403"/>
      <c r="J95" s="390" t="s">
        <v>365</v>
      </c>
      <c r="K95" s="390" t="s">
        <v>229</v>
      </c>
      <c r="L95" s="416" t="s">
        <v>435</v>
      </c>
      <c r="M95" s="407">
        <f>25%*M93</f>
        <v>1430.25</v>
      </c>
      <c r="N95" s="408">
        <f>25%*N93</f>
        <v>10000</v>
      </c>
      <c r="O95" s="505"/>
      <c r="P95" s="505"/>
      <c r="Q95" s="505"/>
      <c r="R95" s="505"/>
      <c r="S95" s="505"/>
      <c r="T95" s="505"/>
      <c r="U95" s="502"/>
      <c r="V95" s="502"/>
      <c r="W95" s="603"/>
      <c r="X95" s="597"/>
      <c r="Y95" s="602"/>
      <c r="Z95" s="654">
        <f t="shared" si="30"/>
        <v>0</v>
      </c>
      <c r="AA95" s="617"/>
      <c r="AB95" s="400"/>
      <c r="AC95" s="397"/>
      <c r="AD95" s="1113"/>
      <c r="AE95" s="1113"/>
      <c r="AF95" s="1113"/>
      <c r="AG95" s="654">
        <f t="shared" si="31"/>
        <v>0</v>
      </c>
      <c r="AH95" s="617"/>
      <c r="AI95" s="400"/>
      <c r="AJ95" s="397"/>
      <c r="AL95" s="611"/>
      <c r="AM95" s="612"/>
      <c r="AN95" s="613"/>
    </row>
    <row r="96" spans="1:40" ht="43.15" hidden="1" customHeight="1">
      <c r="A96" s="496">
        <v>24</v>
      </c>
      <c r="B96" s="497"/>
      <c r="C96" s="497" t="s">
        <v>567</v>
      </c>
      <c r="D96" s="497"/>
      <c r="E96" s="528" t="s">
        <v>581</v>
      </c>
      <c r="F96" s="668" t="s">
        <v>679</v>
      </c>
      <c r="G96" s="403" t="s">
        <v>607</v>
      </c>
      <c r="H96" s="404" t="s">
        <v>604</v>
      </c>
      <c r="I96" s="403" t="s">
        <v>541</v>
      </c>
      <c r="J96" s="390" t="s">
        <v>365</v>
      </c>
      <c r="K96" s="390" t="s">
        <v>229</v>
      </c>
      <c r="L96" s="416" t="s">
        <v>362</v>
      </c>
      <c r="M96" s="508" t="s">
        <v>515</v>
      </c>
      <c r="N96" s="408"/>
      <c r="O96" s="505"/>
      <c r="P96" s="505"/>
      <c r="Q96" s="505"/>
      <c r="R96" s="505"/>
      <c r="S96" s="505"/>
      <c r="T96" s="505"/>
      <c r="U96" s="502"/>
      <c r="V96" s="502"/>
      <c r="W96" s="603"/>
      <c r="X96" s="597"/>
      <c r="Y96" s="602"/>
      <c r="Z96" s="654">
        <f t="shared" si="30"/>
        <v>0</v>
      </c>
      <c r="AA96" s="617"/>
      <c r="AB96" s="400" t="e">
        <f t="shared" si="27"/>
        <v>#DIV/0!</v>
      </c>
      <c r="AC96" s="397"/>
      <c r="AD96" s="1113"/>
      <c r="AE96" s="1113"/>
      <c r="AF96" s="1113"/>
      <c r="AG96" s="654">
        <f t="shared" si="31"/>
        <v>0</v>
      </c>
      <c r="AH96" s="617"/>
      <c r="AI96" s="400" t="e">
        <f t="shared" si="0"/>
        <v>#DIV/0!</v>
      </c>
      <c r="AJ96" s="397"/>
      <c r="AL96" s="611"/>
      <c r="AM96" s="612"/>
      <c r="AN96" s="613"/>
    </row>
    <row r="97" spans="1:40" ht="43.15" hidden="1" customHeight="1">
      <c r="A97" s="506"/>
      <c r="B97" s="497"/>
      <c r="C97" s="497"/>
      <c r="D97" s="497"/>
      <c r="E97" s="529" t="s">
        <v>635</v>
      </c>
      <c r="F97" s="667" t="s">
        <v>570</v>
      </c>
      <c r="G97" s="403"/>
      <c r="H97" s="404"/>
      <c r="I97" s="403"/>
      <c r="J97" s="390" t="s">
        <v>365</v>
      </c>
      <c r="K97" s="390" t="s">
        <v>229</v>
      </c>
      <c r="L97" s="416" t="s">
        <v>435</v>
      </c>
      <c r="M97" s="508" t="s">
        <v>515</v>
      </c>
      <c r="N97" s="519" t="s">
        <v>568</v>
      </c>
      <c r="O97" s="505"/>
      <c r="P97" s="505"/>
      <c r="Q97" s="505"/>
      <c r="R97" s="505"/>
      <c r="S97" s="505"/>
      <c r="T97" s="505"/>
      <c r="U97" s="502"/>
      <c r="V97" s="502"/>
      <c r="W97" s="603"/>
      <c r="X97" s="597"/>
      <c r="Y97" s="602"/>
      <c r="Z97" s="654">
        <f t="shared" si="30"/>
        <v>0</v>
      </c>
      <c r="AA97" s="617"/>
      <c r="AB97" s="400"/>
      <c r="AC97" s="397"/>
      <c r="AD97" s="1113"/>
      <c r="AE97" s="1113"/>
      <c r="AF97" s="1113"/>
      <c r="AG97" s="654">
        <f t="shared" si="31"/>
        <v>0</v>
      </c>
      <c r="AH97" s="617"/>
      <c r="AI97" s="400"/>
      <c r="AJ97" s="397"/>
      <c r="AL97" s="611"/>
      <c r="AM97" s="612"/>
      <c r="AN97" s="613"/>
    </row>
    <row r="98" spans="1:40" ht="43.15" hidden="1" customHeight="1">
      <c r="A98" s="506"/>
      <c r="B98" s="497"/>
      <c r="C98" s="497"/>
      <c r="D98" s="497"/>
      <c r="E98" s="529" t="s">
        <v>636</v>
      </c>
      <c r="F98" s="667" t="s">
        <v>570</v>
      </c>
      <c r="G98" s="403"/>
      <c r="H98" s="404"/>
      <c r="I98" s="403"/>
      <c r="J98" s="390" t="s">
        <v>365</v>
      </c>
      <c r="K98" s="390" t="s">
        <v>229</v>
      </c>
      <c r="L98" s="416" t="s">
        <v>362</v>
      </c>
      <c r="M98" s="508" t="s">
        <v>515</v>
      </c>
      <c r="N98" s="519" t="s">
        <v>568</v>
      </c>
      <c r="O98" s="505"/>
      <c r="P98" s="505"/>
      <c r="Q98" s="505"/>
      <c r="R98" s="505"/>
      <c r="S98" s="505"/>
      <c r="T98" s="505"/>
      <c r="U98" s="502"/>
      <c r="V98" s="502"/>
      <c r="W98" s="603"/>
      <c r="X98" s="597"/>
      <c r="Y98" s="602"/>
      <c r="Z98" s="654">
        <f t="shared" si="30"/>
        <v>0</v>
      </c>
      <c r="AA98" s="617"/>
      <c r="AB98" s="400"/>
      <c r="AC98" s="397"/>
      <c r="AD98" s="1113"/>
      <c r="AE98" s="1113"/>
      <c r="AF98" s="1113"/>
      <c r="AG98" s="654">
        <f t="shared" si="31"/>
        <v>0</v>
      </c>
      <c r="AH98" s="617"/>
      <c r="AI98" s="400"/>
      <c r="AJ98" s="397"/>
      <c r="AL98" s="611"/>
      <c r="AM98" s="612"/>
      <c r="AN98" s="613"/>
    </row>
    <row r="99" spans="1:40" s="550" customFormat="1" ht="35.1" hidden="1" customHeight="1">
      <c r="A99" s="573"/>
      <c r="B99" s="551"/>
      <c r="C99" s="551"/>
      <c r="D99" s="551"/>
      <c r="E99" s="561" t="s">
        <v>542</v>
      </c>
      <c r="F99" s="552"/>
      <c r="G99" s="553"/>
      <c r="H99" s="554"/>
      <c r="I99" s="553"/>
      <c r="J99" s="555"/>
      <c r="K99" s="555"/>
      <c r="L99" s="556"/>
      <c r="M99" s="557"/>
      <c r="N99" s="558"/>
      <c r="O99" s="614"/>
      <c r="P99" s="614"/>
      <c r="Q99" s="614"/>
      <c r="R99" s="614"/>
      <c r="S99" s="614"/>
      <c r="T99" s="614"/>
      <c r="U99" s="615"/>
      <c r="V99" s="615"/>
      <c r="W99" s="662"/>
      <c r="X99" s="664"/>
      <c r="Y99" s="665"/>
      <c r="Z99" s="627"/>
      <c r="AA99" s="628"/>
      <c r="AB99" s="629"/>
      <c r="AC99" s="552"/>
      <c r="AD99" s="1117"/>
      <c r="AE99" s="1117"/>
      <c r="AF99" s="1117"/>
      <c r="AG99" s="627"/>
      <c r="AH99" s="628"/>
      <c r="AI99" s="629"/>
      <c r="AJ99" s="552"/>
      <c r="AL99" s="611"/>
      <c r="AM99" s="612"/>
      <c r="AN99" s="613"/>
    </row>
    <row r="100" spans="1:40" s="550" customFormat="1" ht="35.1" hidden="1" customHeight="1">
      <c r="A100" s="573"/>
      <c r="B100" s="542"/>
      <c r="C100" s="542"/>
      <c r="D100" s="542"/>
      <c r="E100" s="518" t="s">
        <v>543</v>
      </c>
      <c r="F100" s="543"/>
      <c r="G100" s="544"/>
      <c r="H100" s="545"/>
      <c r="I100" s="544"/>
      <c r="J100" s="546"/>
      <c r="K100" s="546"/>
      <c r="L100" s="547"/>
      <c r="M100" s="548"/>
      <c r="N100" s="549"/>
      <c r="O100" s="406"/>
      <c r="P100" s="406"/>
      <c r="Q100" s="406"/>
      <c r="R100" s="406"/>
      <c r="S100" s="406"/>
      <c r="T100" s="406"/>
      <c r="U100" s="409"/>
      <c r="V100" s="409"/>
      <c r="W100" s="622"/>
      <c r="X100" s="623"/>
      <c r="Y100" s="624"/>
      <c r="Z100" s="625"/>
      <c r="AA100" s="617"/>
      <c r="AB100" s="626"/>
      <c r="AC100" s="543"/>
      <c r="AD100" s="1116"/>
      <c r="AE100" s="1116"/>
      <c r="AF100" s="1116"/>
      <c r="AG100" s="625"/>
      <c r="AH100" s="617"/>
      <c r="AI100" s="626"/>
      <c r="AJ100" s="543"/>
      <c r="AL100" s="611"/>
      <c r="AM100" s="612"/>
      <c r="AN100" s="613"/>
    </row>
    <row r="101" spans="1:40" ht="43.15" hidden="1" customHeight="1">
      <c r="A101" s="496">
        <v>25</v>
      </c>
      <c r="B101" s="497"/>
      <c r="C101" s="497" t="s">
        <v>571</v>
      </c>
      <c r="D101" s="497"/>
      <c r="E101" s="528" t="s">
        <v>613</v>
      </c>
      <c r="F101" s="668" t="s">
        <v>679</v>
      </c>
      <c r="G101" s="403" t="s">
        <v>607</v>
      </c>
      <c r="H101" s="404" t="s">
        <v>604</v>
      </c>
      <c r="I101" s="403" t="s">
        <v>538</v>
      </c>
      <c r="J101" s="390" t="s">
        <v>365</v>
      </c>
      <c r="K101" s="390" t="s">
        <v>229</v>
      </c>
      <c r="L101" s="416"/>
      <c r="M101" s="508" t="s">
        <v>515</v>
      </c>
      <c r="N101" s="408"/>
      <c r="O101" s="505"/>
      <c r="P101" s="505"/>
      <c r="Q101" s="505"/>
      <c r="R101" s="505"/>
      <c r="S101" s="505"/>
      <c r="T101" s="505"/>
      <c r="U101" s="502"/>
      <c r="V101" s="502"/>
      <c r="W101" s="603"/>
      <c r="X101" s="597"/>
      <c r="Y101" s="602"/>
      <c r="Z101" s="654">
        <f t="shared" ref="Z101:Z117" si="32">Q101/2</f>
        <v>0</v>
      </c>
      <c r="AA101" s="617"/>
      <c r="AB101" s="400" t="e">
        <f t="shared" si="27"/>
        <v>#DIV/0!</v>
      </c>
      <c r="AC101" s="397"/>
      <c r="AD101" s="1113"/>
      <c r="AE101" s="1113"/>
      <c r="AF101" s="1113"/>
      <c r="AG101" s="654">
        <f t="shared" ref="AG101:AG117" si="33">Q101/2</f>
        <v>0</v>
      </c>
      <c r="AH101" s="617"/>
      <c r="AI101" s="400" t="e">
        <f t="shared" si="0"/>
        <v>#DIV/0!</v>
      </c>
      <c r="AJ101" s="397"/>
      <c r="AL101" s="611"/>
      <c r="AM101" s="612"/>
      <c r="AN101" s="613"/>
    </row>
    <row r="102" spans="1:40" ht="43.15" hidden="1" customHeight="1">
      <c r="A102" s="506"/>
      <c r="B102" s="497"/>
      <c r="C102" s="497"/>
      <c r="D102" s="497"/>
      <c r="E102" s="503" t="s">
        <v>572</v>
      </c>
      <c r="F102" s="667" t="s">
        <v>570</v>
      </c>
      <c r="G102" s="403"/>
      <c r="H102" s="404"/>
      <c r="I102" s="403"/>
      <c r="J102" s="390" t="s">
        <v>365</v>
      </c>
      <c r="K102" s="390" t="s">
        <v>229</v>
      </c>
      <c r="L102" s="416" t="s">
        <v>435</v>
      </c>
      <c r="M102" s="508" t="s">
        <v>515</v>
      </c>
      <c r="N102" s="519" t="s">
        <v>568</v>
      </c>
      <c r="O102" s="505"/>
      <c r="P102" s="505"/>
      <c r="Q102" s="505"/>
      <c r="R102" s="505"/>
      <c r="S102" s="505"/>
      <c r="T102" s="505"/>
      <c r="U102" s="502"/>
      <c r="V102" s="502"/>
      <c r="W102" s="603"/>
      <c r="X102" s="597"/>
      <c r="Y102" s="602"/>
      <c r="Z102" s="654">
        <f t="shared" si="32"/>
        <v>0</v>
      </c>
      <c r="AA102" s="617"/>
      <c r="AB102" s="400"/>
      <c r="AC102" s="397"/>
      <c r="AD102" s="1113"/>
      <c r="AE102" s="1113"/>
      <c r="AF102" s="1113"/>
      <c r="AG102" s="654">
        <f t="shared" si="33"/>
        <v>0</v>
      </c>
      <c r="AH102" s="617"/>
      <c r="AI102" s="400"/>
      <c r="AJ102" s="397"/>
      <c r="AL102" s="611"/>
      <c r="AM102" s="612"/>
      <c r="AN102" s="613"/>
    </row>
    <row r="103" spans="1:40" ht="43.15" hidden="1" customHeight="1">
      <c r="A103" s="506"/>
      <c r="B103" s="497"/>
      <c r="C103" s="497"/>
      <c r="D103" s="497"/>
      <c r="E103" s="503" t="s">
        <v>573</v>
      </c>
      <c r="F103" s="667" t="s">
        <v>570</v>
      </c>
      <c r="G103" s="403"/>
      <c r="H103" s="404"/>
      <c r="I103" s="403"/>
      <c r="J103" s="390" t="s">
        <v>365</v>
      </c>
      <c r="K103" s="390" t="s">
        <v>229</v>
      </c>
      <c r="L103" s="416" t="s">
        <v>362</v>
      </c>
      <c r="M103" s="508" t="s">
        <v>515</v>
      </c>
      <c r="N103" s="519" t="s">
        <v>568</v>
      </c>
      <c r="O103" s="505"/>
      <c r="P103" s="505"/>
      <c r="Q103" s="505"/>
      <c r="R103" s="505"/>
      <c r="S103" s="505"/>
      <c r="T103" s="505"/>
      <c r="U103" s="502"/>
      <c r="V103" s="502"/>
      <c r="W103" s="603"/>
      <c r="X103" s="597"/>
      <c r="Y103" s="602"/>
      <c r="Z103" s="654">
        <f t="shared" si="32"/>
        <v>0</v>
      </c>
      <c r="AA103" s="617"/>
      <c r="AB103" s="400"/>
      <c r="AC103" s="397"/>
      <c r="AD103" s="1113"/>
      <c r="AE103" s="1113"/>
      <c r="AF103" s="1113"/>
      <c r="AG103" s="654">
        <f t="shared" si="33"/>
        <v>0</v>
      </c>
      <c r="AH103" s="617"/>
      <c r="AI103" s="400"/>
      <c r="AJ103" s="397"/>
      <c r="AL103" s="611"/>
      <c r="AM103" s="612"/>
      <c r="AN103" s="613"/>
    </row>
    <row r="104" spans="1:40" ht="137.25" hidden="1" customHeight="1">
      <c r="A104" s="496">
        <v>26</v>
      </c>
      <c r="B104" s="497"/>
      <c r="C104" s="497" t="s">
        <v>574</v>
      </c>
      <c r="D104" s="497"/>
      <c r="E104" s="528" t="s">
        <v>569</v>
      </c>
      <c r="F104" s="668" t="s">
        <v>679</v>
      </c>
      <c r="G104" s="403" t="s">
        <v>607</v>
      </c>
      <c r="H104" s="404" t="s">
        <v>604</v>
      </c>
      <c r="I104" s="403" t="s">
        <v>544</v>
      </c>
      <c r="J104" s="390"/>
      <c r="K104" s="390"/>
      <c r="L104" s="416"/>
      <c r="M104" s="407"/>
      <c r="N104" s="408"/>
      <c r="O104" s="505"/>
      <c r="P104" s="505"/>
      <c r="Q104" s="505"/>
      <c r="R104" s="505"/>
      <c r="S104" s="505"/>
      <c r="T104" s="505"/>
      <c r="U104" s="502"/>
      <c r="V104" s="502"/>
      <c r="W104" s="603"/>
      <c r="X104" s="597"/>
      <c r="Y104" s="602"/>
      <c r="Z104" s="654">
        <f t="shared" si="32"/>
        <v>0</v>
      </c>
      <c r="AA104" s="617"/>
      <c r="AB104" s="400" t="e">
        <f t="shared" si="27"/>
        <v>#DIV/0!</v>
      </c>
      <c r="AC104" s="397"/>
      <c r="AD104" s="1113"/>
      <c r="AE104" s="1113"/>
      <c r="AF104" s="1113"/>
      <c r="AG104" s="654">
        <f t="shared" si="33"/>
        <v>0</v>
      </c>
      <c r="AH104" s="617"/>
      <c r="AI104" s="400" t="e">
        <f t="shared" si="0"/>
        <v>#DIV/0!</v>
      </c>
      <c r="AJ104" s="397"/>
      <c r="AL104" s="611"/>
      <c r="AM104" s="612"/>
      <c r="AN104" s="613"/>
    </row>
    <row r="105" spans="1:40" ht="52.5" hidden="1" customHeight="1">
      <c r="A105" s="506"/>
      <c r="B105" s="497"/>
      <c r="C105" s="497"/>
      <c r="D105" s="497"/>
      <c r="E105" s="529" t="s">
        <v>654</v>
      </c>
      <c r="F105" s="667"/>
      <c r="G105" s="403"/>
      <c r="H105" s="404"/>
      <c r="I105" s="403"/>
      <c r="J105" s="390" t="s">
        <v>365</v>
      </c>
      <c r="K105" s="390" t="s">
        <v>229</v>
      </c>
      <c r="L105" s="416" t="s">
        <v>435</v>
      </c>
      <c r="M105" s="508" t="s">
        <v>515</v>
      </c>
      <c r="N105" s="408">
        <f>16000/2</f>
        <v>8000</v>
      </c>
      <c r="O105" s="505"/>
      <c r="P105" s="505"/>
      <c r="Q105" s="505"/>
      <c r="R105" s="505"/>
      <c r="S105" s="505"/>
      <c r="T105" s="505"/>
      <c r="U105" s="502"/>
      <c r="V105" s="502"/>
      <c r="W105" s="603"/>
      <c r="X105" s="597"/>
      <c r="Y105" s="602"/>
      <c r="Z105" s="654">
        <f t="shared" si="32"/>
        <v>0</v>
      </c>
      <c r="AA105" s="617"/>
      <c r="AB105" s="400"/>
      <c r="AC105" s="397"/>
      <c r="AD105" s="1113"/>
      <c r="AE105" s="1113"/>
      <c r="AF105" s="1113"/>
      <c r="AG105" s="654">
        <f t="shared" si="33"/>
        <v>0</v>
      </c>
      <c r="AH105" s="617"/>
      <c r="AI105" s="400"/>
      <c r="AJ105" s="397"/>
      <c r="AL105" s="611"/>
      <c r="AM105" s="612"/>
      <c r="AN105" s="613"/>
    </row>
    <row r="106" spans="1:40" ht="54" hidden="1" customHeight="1">
      <c r="A106" s="506"/>
      <c r="B106" s="497"/>
      <c r="C106" s="497"/>
      <c r="D106" s="497"/>
      <c r="E106" s="529" t="s">
        <v>655</v>
      </c>
      <c r="F106" s="667"/>
      <c r="G106" s="403"/>
      <c r="H106" s="404"/>
      <c r="I106" s="403"/>
      <c r="J106" s="390" t="s">
        <v>365</v>
      </c>
      <c r="K106" s="390" t="s">
        <v>229</v>
      </c>
      <c r="L106" s="416" t="s">
        <v>435</v>
      </c>
      <c r="M106" s="508" t="s">
        <v>515</v>
      </c>
      <c r="N106" s="408">
        <f>16000/2</f>
        <v>8000</v>
      </c>
      <c r="O106" s="505"/>
      <c r="P106" s="505"/>
      <c r="Q106" s="505"/>
      <c r="R106" s="505"/>
      <c r="S106" s="505"/>
      <c r="T106" s="505"/>
      <c r="U106" s="502"/>
      <c r="V106" s="502"/>
      <c r="W106" s="603"/>
      <c r="X106" s="597"/>
      <c r="Y106" s="602"/>
      <c r="Z106" s="654">
        <f t="shared" si="32"/>
        <v>0</v>
      </c>
      <c r="AA106" s="617"/>
      <c r="AB106" s="400"/>
      <c r="AC106" s="397"/>
      <c r="AD106" s="1113"/>
      <c r="AE106" s="1113"/>
      <c r="AF106" s="1113"/>
      <c r="AG106" s="654">
        <f t="shared" si="33"/>
        <v>0</v>
      </c>
      <c r="AH106" s="617"/>
      <c r="AI106" s="400"/>
      <c r="AJ106" s="397"/>
      <c r="AL106" s="611"/>
      <c r="AM106" s="612"/>
      <c r="AN106" s="613"/>
    </row>
    <row r="107" spans="1:40" ht="35.1" hidden="1" customHeight="1">
      <c r="A107" s="506"/>
      <c r="B107" s="497"/>
      <c r="C107" s="497"/>
      <c r="D107" s="497"/>
      <c r="E107" s="529" t="s">
        <v>640</v>
      </c>
      <c r="F107" s="667"/>
      <c r="G107" s="403"/>
      <c r="H107" s="404"/>
      <c r="I107" s="403"/>
      <c r="J107" s="390" t="s">
        <v>365</v>
      </c>
      <c r="K107" s="390" t="s">
        <v>229</v>
      </c>
      <c r="L107" s="416" t="s">
        <v>362</v>
      </c>
      <c r="M107" s="508" t="s">
        <v>515</v>
      </c>
      <c r="N107" s="408">
        <v>54</v>
      </c>
      <c r="O107" s="505"/>
      <c r="P107" s="505"/>
      <c r="Q107" s="505"/>
      <c r="R107" s="505"/>
      <c r="S107" s="505"/>
      <c r="T107" s="505"/>
      <c r="U107" s="502"/>
      <c r="V107" s="502"/>
      <c r="W107" s="603"/>
      <c r="X107" s="597"/>
      <c r="Y107" s="602"/>
      <c r="Z107" s="654">
        <f t="shared" si="32"/>
        <v>0</v>
      </c>
      <c r="AA107" s="617"/>
      <c r="AB107" s="400"/>
      <c r="AC107" s="397"/>
      <c r="AD107" s="1113"/>
      <c r="AE107" s="1113"/>
      <c r="AF107" s="1113"/>
      <c r="AG107" s="654">
        <f t="shared" si="33"/>
        <v>0</v>
      </c>
      <c r="AH107" s="617"/>
      <c r="AI107" s="400"/>
      <c r="AJ107" s="397"/>
      <c r="AL107" s="611"/>
      <c r="AM107" s="612"/>
      <c r="AN107" s="613"/>
    </row>
    <row r="108" spans="1:40" ht="35.1" hidden="1" customHeight="1">
      <c r="A108" s="506"/>
      <c r="B108" s="497"/>
      <c r="C108" s="497"/>
      <c r="D108" s="497"/>
      <c r="E108" s="529" t="s">
        <v>641</v>
      </c>
      <c r="F108" s="667"/>
      <c r="G108" s="403"/>
      <c r="H108" s="404"/>
      <c r="I108" s="403"/>
      <c r="J108" s="390" t="s">
        <v>365</v>
      </c>
      <c r="K108" s="390" t="s">
        <v>229</v>
      </c>
      <c r="L108" s="416" t="s">
        <v>362</v>
      </c>
      <c r="M108" s="508" t="s">
        <v>515</v>
      </c>
      <c r="N108" s="408">
        <v>47</v>
      </c>
      <c r="O108" s="505"/>
      <c r="P108" s="505"/>
      <c r="Q108" s="505"/>
      <c r="R108" s="505"/>
      <c r="S108" s="505"/>
      <c r="T108" s="505"/>
      <c r="U108" s="502"/>
      <c r="V108" s="502"/>
      <c r="W108" s="603"/>
      <c r="X108" s="597"/>
      <c r="Y108" s="602"/>
      <c r="Z108" s="654">
        <f t="shared" si="32"/>
        <v>0</v>
      </c>
      <c r="AA108" s="617"/>
      <c r="AB108" s="400"/>
      <c r="AC108" s="397"/>
      <c r="AD108" s="1113"/>
      <c r="AE108" s="1113"/>
      <c r="AF108" s="1113"/>
      <c r="AG108" s="654">
        <f t="shared" si="33"/>
        <v>0</v>
      </c>
      <c r="AH108" s="617"/>
      <c r="AI108" s="400"/>
      <c r="AJ108" s="397"/>
      <c r="AL108" s="611"/>
      <c r="AM108" s="612"/>
      <c r="AN108" s="613"/>
    </row>
    <row r="109" spans="1:40" ht="35.1" hidden="1" customHeight="1">
      <c r="A109" s="506"/>
      <c r="B109" s="497"/>
      <c r="C109" s="497"/>
      <c r="D109" s="497"/>
      <c r="E109" s="529" t="s">
        <v>642</v>
      </c>
      <c r="F109" s="667"/>
      <c r="G109" s="403"/>
      <c r="H109" s="404"/>
      <c r="I109" s="403"/>
      <c r="J109" s="390" t="s">
        <v>365</v>
      </c>
      <c r="K109" s="390" t="s">
        <v>229</v>
      </c>
      <c r="L109" s="416" t="s">
        <v>362</v>
      </c>
      <c r="M109" s="508" t="s">
        <v>515</v>
      </c>
      <c r="N109" s="408">
        <v>48</v>
      </c>
      <c r="O109" s="505"/>
      <c r="P109" s="505"/>
      <c r="Q109" s="505"/>
      <c r="R109" s="505"/>
      <c r="S109" s="505"/>
      <c r="T109" s="505"/>
      <c r="U109" s="502"/>
      <c r="V109" s="502"/>
      <c r="W109" s="603"/>
      <c r="X109" s="597"/>
      <c r="Y109" s="602"/>
      <c r="Z109" s="654">
        <f t="shared" si="32"/>
        <v>0</v>
      </c>
      <c r="AA109" s="617"/>
      <c r="AB109" s="400"/>
      <c r="AC109" s="397"/>
      <c r="AD109" s="1113"/>
      <c r="AE109" s="1113"/>
      <c r="AF109" s="1113"/>
      <c r="AG109" s="654">
        <f t="shared" si="33"/>
        <v>0</v>
      </c>
      <c r="AH109" s="617"/>
      <c r="AI109" s="400"/>
      <c r="AJ109" s="397"/>
      <c r="AL109" s="611"/>
      <c r="AM109" s="612"/>
      <c r="AN109" s="613"/>
    </row>
    <row r="110" spans="1:40" ht="35.1" hidden="1" customHeight="1">
      <c r="A110" s="506"/>
      <c r="B110" s="497"/>
      <c r="C110" s="497"/>
      <c r="D110" s="497"/>
      <c r="E110" s="529" t="s">
        <v>643</v>
      </c>
      <c r="F110" s="667"/>
      <c r="G110" s="403"/>
      <c r="H110" s="404"/>
      <c r="I110" s="403"/>
      <c r="J110" s="390" t="s">
        <v>365</v>
      </c>
      <c r="K110" s="390" t="s">
        <v>229</v>
      </c>
      <c r="L110" s="416" t="s">
        <v>362</v>
      </c>
      <c r="M110" s="508" t="s">
        <v>515</v>
      </c>
      <c r="N110" s="408">
        <v>30</v>
      </c>
      <c r="O110" s="505"/>
      <c r="P110" s="505"/>
      <c r="Q110" s="505"/>
      <c r="R110" s="505"/>
      <c r="S110" s="505"/>
      <c r="T110" s="505"/>
      <c r="U110" s="502"/>
      <c r="V110" s="502"/>
      <c r="W110" s="603"/>
      <c r="X110" s="597"/>
      <c r="Y110" s="602"/>
      <c r="Z110" s="654">
        <f t="shared" si="32"/>
        <v>0</v>
      </c>
      <c r="AA110" s="617"/>
      <c r="AB110" s="400"/>
      <c r="AC110" s="397"/>
      <c r="AD110" s="1113"/>
      <c r="AE110" s="1113"/>
      <c r="AF110" s="1113"/>
      <c r="AG110" s="654">
        <f t="shared" si="33"/>
        <v>0</v>
      </c>
      <c r="AH110" s="617"/>
      <c r="AI110" s="400"/>
      <c r="AJ110" s="397"/>
      <c r="AL110" s="611"/>
      <c r="AM110" s="612"/>
      <c r="AN110" s="613"/>
    </row>
    <row r="111" spans="1:40" ht="94.9" hidden="1" customHeight="1">
      <c r="A111" s="496">
        <v>27</v>
      </c>
      <c r="B111" s="497"/>
      <c r="C111" s="497"/>
      <c r="D111" s="497"/>
      <c r="E111" s="528" t="s">
        <v>575</v>
      </c>
      <c r="F111" s="668" t="s">
        <v>679</v>
      </c>
      <c r="G111" s="403" t="s">
        <v>607</v>
      </c>
      <c r="H111" s="404" t="s">
        <v>604</v>
      </c>
      <c r="I111" s="403" t="s">
        <v>545</v>
      </c>
      <c r="J111" s="390"/>
      <c r="K111" s="390"/>
      <c r="L111" s="416"/>
      <c r="M111" s="505"/>
      <c r="N111" s="408"/>
      <c r="O111" s="505"/>
      <c r="P111" s="505"/>
      <c r="Q111" s="505"/>
      <c r="R111" s="505"/>
      <c r="S111" s="505"/>
      <c r="T111" s="505"/>
      <c r="U111" s="502"/>
      <c r="V111" s="502"/>
      <c r="W111" s="603"/>
      <c r="X111" s="597"/>
      <c r="Y111" s="602"/>
      <c r="Z111" s="654">
        <f t="shared" si="32"/>
        <v>0</v>
      </c>
      <c r="AA111" s="617"/>
      <c r="AB111" s="400" t="e">
        <f t="shared" si="27"/>
        <v>#DIV/0!</v>
      </c>
      <c r="AC111" s="397"/>
      <c r="AD111" s="1113"/>
      <c r="AE111" s="1113"/>
      <c r="AF111" s="1113"/>
      <c r="AG111" s="654">
        <f t="shared" si="33"/>
        <v>0</v>
      </c>
      <c r="AH111" s="617"/>
      <c r="AI111" s="400" t="e">
        <f t="shared" si="0"/>
        <v>#DIV/0!</v>
      </c>
      <c r="AJ111" s="397"/>
      <c r="AL111" s="611"/>
      <c r="AM111" s="612"/>
      <c r="AN111" s="613"/>
    </row>
    <row r="112" spans="1:40" s="593" customFormat="1" ht="35.1" hidden="1" customHeight="1">
      <c r="A112" s="585"/>
      <c r="B112" s="529"/>
      <c r="C112" s="529"/>
      <c r="D112" s="529"/>
      <c r="E112" s="529" t="s">
        <v>644</v>
      </c>
      <c r="F112" s="667"/>
      <c r="G112" s="587"/>
      <c r="H112" s="587"/>
      <c r="I112" s="587"/>
      <c r="J112" s="588" t="s">
        <v>365</v>
      </c>
      <c r="K112" s="588" t="s">
        <v>229</v>
      </c>
      <c r="L112" s="589" t="s">
        <v>435</v>
      </c>
      <c r="M112" s="590">
        <v>0</v>
      </c>
      <c r="N112" s="591" t="s">
        <v>568</v>
      </c>
      <c r="O112" s="505"/>
      <c r="P112" s="505"/>
      <c r="Q112" s="505"/>
      <c r="R112" s="505"/>
      <c r="S112" s="505"/>
      <c r="T112" s="505"/>
      <c r="U112" s="502"/>
      <c r="V112" s="502"/>
      <c r="W112" s="603"/>
      <c r="X112" s="597"/>
      <c r="Y112" s="602"/>
      <c r="Z112" s="654">
        <f t="shared" si="32"/>
        <v>0</v>
      </c>
      <c r="AA112" s="617"/>
      <c r="AB112" s="592"/>
      <c r="AC112" s="586"/>
      <c r="AD112" s="1118"/>
      <c r="AE112" s="1118"/>
      <c r="AF112" s="1118"/>
      <c r="AG112" s="654">
        <f t="shared" si="33"/>
        <v>0</v>
      </c>
      <c r="AH112" s="617"/>
      <c r="AI112" s="592"/>
      <c r="AJ112" s="586"/>
      <c r="AL112" s="611"/>
      <c r="AM112" s="612"/>
      <c r="AN112" s="613"/>
    </row>
    <row r="113" spans="1:40" s="593" customFormat="1" ht="35.1" hidden="1" customHeight="1">
      <c r="A113" s="585"/>
      <c r="B113" s="529"/>
      <c r="C113" s="529"/>
      <c r="D113" s="529"/>
      <c r="E113" s="529" t="s">
        <v>645</v>
      </c>
      <c r="F113" s="667"/>
      <c r="G113" s="587"/>
      <c r="H113" s="587"/>
      <c r="I113" s="587"/>
      <c r="J113" s="588" t="s">
        <v>365</v>
      </c>
      <c r="K113" s="588" t="s">
        <v>229</v>
      </c>
      <c r="L113" s="589" t="s">
        <v>362</v>
      </c>
      <c r="M113" s="590">
        <v>0</v>
      </c>
      <c r="N113" s="591" t="s">
        <v>568</v>
      </c>
      <c r="O113" s="505"/>
      <c r="P113" s="505"/>
      <c r="Q113" s="505"/>
      <c r="R113" s="505"/>
      <c r="S113" s="505"/>
      <c r="T113" s="505"/>
      <c r="U113" s="502"/>
      <c r="V113" s="502"/>
      <c r="W113" s="603"/>
      <c r="X113" s="597"/>
      <c r="Y113" s="602"/>
      <c r="Z113" s="654">
        <f t="shared" si="32"/>
        <v>0</v>
      </c>
      <c r="AA113" s="617"/>
      <c r="AB113" s="592"/>
      <c r="AC113" s="586"/>
      <c r="AD113" s="1118"/>
      <c r="AE113" s="1118"/>
      <c r="AF113" s="1118"/>
      <c r="AG113" s="654">
        <f t="shared" si="33"/>
        <v>0</v>
      </c>
      <c r="AH113" s="617"/>
      <c r="AI113" s="592"/>
      <c r="AJ113" s="586"/>
      <c r="AL113" s="611"/>
      <c r="AM113" s="612"/>
      <c r="AN113" s="613"/>
    </row>
    <row r="114" spans="1:40" s="593" customFormat="1" ht="51" hidden="1" customHeight="1">
      <c r="A114" s="585"/>
      <c r="B114" s="529"/>
      <c r="C114" s="529"/>
      <c r="D114" s="529"/>
      <c r="E114" s="529" t="s">
        <v>646</v>
      </c>
      <c r="F114" s="667"/>
      <c r="G114" s="587"/>
      <c r="H114" s="587"/>
      <c r="I114" s="587"/>
      <c r="J114" s="588" t="s">
        <v>365</v>
      </c>
      <c r="K114" s="588" t="s">
        <v>229</v>
      </c>
      <c r="L114" s="589" t="s">
        <v>362</v>
      </c>
      <c r="M114" s="590">
        <v>0</v>
      </c>
      <c r="N114" s="594">
        <v>40</v>
      </c>
      <c r="O114" s="505"/>
      <c r="P114" s="505"/>
      <c r="Q114" s="505"/>
      <c r="R114" s="505"/>
      <c r="S114" s="505"/>
      <c r="T114" s="505"/>
      <c r="U114" s="502"/>
      <c r="V114" s="502"/>
      <c r="W114" s="603"/>
      <c r="X114" s="597"/>
      <c r="Y114" s="602"/>
      <c r="Z114" s="654">
        <f t="shared" si="32"/>
        <v>0</v>
      </c>
      <c r="AA114" s="617"/>
      <c r="AB114" s="592"/>
      <c r="AC114" s="586"/>
      <c r="AD114" s="1118"/>
      <c r="AE114" s="1118"/>
      <c r="AF114" s="1118"/>
      <c r="AG114" s="654">
        <f t="shared" si="33"/>
        <v>0</v>
      </c>
      <c r="AH114" s="617"/>
      <c r="AI114" s="592"/>
      <c r="AJ114" s="586"/>
      <c r="AL114" s="611"/>
      <c r="AM114" s="612"/>
      <c r="AN114" s="613"/>
    </row>
    <row r="115" spans="1:40" ht="81.599999999999994" hidden="1" customHeight="1">
      <c r="A115" s="496">
        <v>28</v>
      </c>
      <c r="B115" s="497"/>
      <c r="C115" s="497"/>
      <c r="D115" s="497"/>
      <c r="E115" s="528" t="s">
        <v>577</v>
      </c>
      <c r="F115" s="667" t="s">
        <v>578</v>
      </c>
      <c r="G115" s="403" t="s">
        <v>607</v>
      </c>
      <c r="H115" s="404" t="s">
        <v>604</v>
      </c>
      <c r="I115" s="403" t="s">
        <v>546</v>
      </c>
      <c r="J115" s="390"/>
      <c r="K115" s="390"/>
      <c r="L115" s="416"/>
      <c r="M115" s="508" t="s">
        <v>515</v>
      </c>
      <c r="N115" s="408"/>
      <c r="O115" s="505"/>
      <c r="P115" s="505"/>
      <c r="Q115" s="505"/>
      <c r="R115" s="505"/>
      <c r="S115" s="505"/>
      <c r="T115" s="505"/>
      <c r="U115" s="502"/>
      <c r="V115" s="502"/>
      <c r="W115" s="603"/>
      <c r="X115" s="597"/>
      <c r="Y115" s="602"/>
      <c r="Z115" s="654">
        <f t="shared" si="32"/>
        <v>0</v>
      </c>
      <c r="AA115" s="617"/>
      <c r="AB115" s="400" t="e">
        <f t="shared" si="27"/>
        <v>#DIV/0!</v>
      </c>
      <c r="AC115" s="397"/>
      <c r="AD115" s="1113"/>
      <c r="AE115" s="1113"/>
      <c r="AF115" s="1113"/>
      <c r="AG115" s="654">
        <f t="shared" si="33"/>
        <v>0</v>
      </c>
      <c r="AH115" s="617"/>
      <c r="AI115" s="400" t="e">
        <f t="shared" si="0"/>
        <v>#DIV/0!</v>
      </c>
      <c r="AJ115" s="397"/>
      <c r="AL115" s="611"/>
      <c r="AM115" s="612"/>
      <c r="AN115" s="613"/>
    </row>
    <row r="116" spans="1:40" s="541" customFormat="1" ht="45" hidden="1" customHeight="1">
      <c r="A116" s="575"/>
      <c r="B116" s="595"/>
      <c r="C116" s="595"/>
      <c r="D116" s="595"/>
      <c r="E116" s="529" t="s">
        <v>647</v>
      </c>
      <c r="F116" s="667"/>
      <c r="G116" s="538"/>
      <c r="H116" s="539"/>
      <c r="I116" s="538"/>
      <c r="J116" s="588" t="s">
        <v>365</v>
      </c>
      <c r="K116" s="588" t="s">
        <v>229</v>
      </c>
      <c r="L116" s="589" t="s">
        <v>435</v>
      </c>
      <c r="M116" s="508" t="s">
        <v>515</v>
      </c>
      <c r="N116" s="591" t="s">
        <v>568</v>
      </c>
      <c r="O116" s="505"/>
      <c r="P116" s="505"/>
      <c r="Q116" s="505"/>
      <c r="R116" s="505"/>
      <c r="S116" s="505"/>
      <c r="T116" s="505"/>
      <c r="U116" s="502"/>
      <c r="V116" s="502"/>
      <c r="W116" s="603"/>
      <c r="X116" s="597"/>
      <c r="Y116" s="602"/>
      <c r="Z116" s="654">
        <f t="shared" si="32"/>
        <v>0</v>
      </c>
      <c r="AA116" s="617"/>
      <c r="AB116" s="540"/>
      <c r="AC116" s="537"/>
      <c r="AD116" s="1119"/>
      <c r="AE116" s="1119"/>
      <c r="AF116" s="1119"/>
      <c r="AG116" s="654">
        <f t="shared" si="33"/>
        <v>0</v>
      </c>
      <c r="AH116" s="617"/>
      <c r="AI116" s="540"/>
      <c r="AJ116" s="537"/>
      <c r="AL116" s="611"/>
      <c r="AM116" s="612"/>
      <c r="AN116" s="613"/>
    </row>
    <row r="117" spans="1:40" s="541" customFormat="1" ht="53.25" hidden="1" customHeight="1">
      <c r="A117" s="575"/>
      <c r="B117" s="595"/>
      <c r="C117" s="595"/>
      <c r="D117" s="595"/>
      <c r="E117" s="529" t="s">
        <v>648</v>
      </c>
      <c r="F117" s="667"/>
      <c r="G117" s="538"/>
      <c r="H117" s="539"/>
      <c r="I117" s="538"/>
      <c r="J117" s="588" t="s">
        <v>365</v>
      </c>
      <c r="K117" s="588" t="s">
        <v>229</v>
      </c>
      <c r="L117" s="589" t="s">
        <v>435</v>
      </c>
      <c r="M117" s="508" t="s">
        <v>515</v>
      </c>
      <c r="N117" s="596">
        <v>8000</v>
      </c>
      <c r="O117" s="505"/>
      <c r="P117" s="505"/>
      <c r="Q117" s="505"/>
      <c r="R117" s="505"/>
      <c r="S117" s="505"/>
      <c r="T117" s="505"/>
      <c r="U117" s="502"/>
      <c r="V117" s="502"/>
      <c r="W117" s="603"/>
      <c r="X117" s="597"/>
      <c r="Y117" s="602"/>
      <c r="Z117" s="654">
        <f t="shared" si="32"/>
        <v>0</v>
      </c>
      <c r="AA117" s="617"/>
      <c r="AB117" s="540"/>
      <c r="AC117" s="537"/>
      <c r="AD117" s="1119"/>
      <c r="AE117" s="1119"/>
      <c r="AF117" s="1119"/>
      <c r="AG117" s="654">
        <f t="shared" si="33"/>
        <v>0</v>
      </c>
      <c r="AH117" s="617"/>
      <c r="AI117" s="540"/>
      <c r="AJ117" s="537"/>
      <c r="AL117" s="611"/>
      <c r="AM117" s="612"/>
      <c r="AN117" s="613"/>
    </row>
    <row r="118" spans="1:40" s="550" customFormat="1" ht="35.1" hidden="1" customHeight="1">
      <c r="A118" s="573"/>
      <c r="B118" s="542"/>
      <c r="C118" s="542"/>
      <c r="D118" s="542"/>
      <c r="E118" s="518" t="s">
        <v>547</v>
      </c>
      <c r="F118" s="543"/>
      <c r="G118" s="544"/>
      <c r="H118" s="545"/>
      <c r="I118" s="544"/>
      <c r="J118" s="546"/>
      <c r="K118" s="546"/>
      <c r="L118" s="547"/>
      <c r="M118" s="548"/>
      <c r="N118" s="549"/>
      <c r="O118" s="406"/>
      <c r="P118" s="406"/>
      <c r="Q118" s="406"/>
      <c r="R118" s="406"/>
      <c r="S118" s="406"/>
      <c r="T118" s="406"/>
      <c r="U118" s="409"/>
      <c r="V118" s="409"/>
      <c r="W118" s="622"/>
      <c r="X118" s="623"/>
      <c r="Y118" s="624"/>
      <c r="Z118" s="625"/>
      <c r="AA118" s="617"/>
      <c r="AB118" s="626"/>
      <c r="AC118" s="543"/>
      <c r="AD118" s="1116"/>
      <c r="AE118" s="1116"/>
      <c r="AF118" s="1116"/>
      <c r="AG118" s="625"/>
      <c r="AH118" s="617"/>
      <c r="AI118" s="626"/>
      <c r="AJ118" s="543"/>
      <c r="AL118" s="611"/>
      <c r="AM118" s="612"/>
      <c r="AN118" s="613"/>
    </row>
    <row r="119" spans="1:40" ht="43.15" hidden="1" customHeight="1">
      <c r="A119" s="496">
        <v>29</v>
      </c>
      <c r="B119" s="497"/>
      <c r="C119" s="497" t="s">
        <v>583</v>
      </c>
      <c r="D119" s="497"/>
      <c r="E119" s="528" t="s">
        <v>548</v>
      </c>
      <c r="F119" s="668" t="s">
        <v>679</v>
      </c>
      <c r="G119" s="403" t="s">
        <v>607</v>
      </c>
      <c r="H119" s="404"/>
      <c r="I119" s="403" t="s">
        <v>544</v>
      </c>
      <c r="J119" s="390" t="s">
        <v>365</v>
      </c>
      <c r="K119" s="390"/>
      <c r="L119" s="416"/>
      <c r="M119" s="508" t="s">
        <v>515</v>
      </c>
      <c r="N119" s="408"/>
      <c r="O119" s="505"/>
      <c r="P119" s="505"/>
      <c r="Q119" s="505"/>
      <c r="R119" s="505"/>
      <c r="S119" s="505"/>
      <c r="T119" s="505"/>
      <c r="U119" s="502"/>
      <c r="V119" s="502"/>
      <c r="W119" s="603"/>
      <c r="X119" s="597"/>
      <c r="Y119" s="602"/>
      <c r="Z119" s="654">
        <f>Q119/2</f>
        <v>0</v>
      </c>
      <c r="AA119" s="617"/>
      <c r="AB119" s="400" t="e">
        <f t="shared" si="27"/>
        <v>#DIV/0!</v>
      </c>
      <c r="AC119" s="397"/>
      <c r="AD119" s="1113"/>
      <c r="AE119" s="1113"/>
      <c r="AF119" s="1113"/>
      <c r="AG119" s="654">
        <f>Q119/2</f>
        <v>0</v>
      </c>
      <c r="AH119" s="617"/>
      <c r="AI119" s="400" t="e">
        <f t="shared" si="0"/>
        <v>#DIV/0!</v>
      </c>
      <c r="AJ119" s="397"/>
      <c r="AL119" s="611"/>
      <c r="AM119" s="612"/>
      <c r="AN119" s="613"/>
    </row>
    <row r="120" spans="1:40" ht="43.15" hidden="1" customHeight="1">
      <c r="A120" s="496"/>
      <c r="B120" s="497"/>
      <c r="C120" s="497"/>
      <c r="D120" s="497"/>
      <c r="E120" s="529" t="s">
        <v>592</v>
      </c>
      <c r="F120" s="667"/>
      <c r="G120" s="403"/>
      <c r="H120" s="404"/>
      <c r="I120" s="403"/>
      <c r="J120" s="390" t="s">
        <v>365</v>
      </c>
      <c r="K120" s="390" t="s">
        <v>229</v>
      </c>
      <c r="L120" s="416" t="s">
        <v>435</v>
      </c>
      <c r="M120" s="508" t="s">
        <v>515</v>
      </c>
      <c r="N120" s="408">
        <v>25</v>
      </c>
      <c r="O120" s="505"/>
      <c r="P120" s="505"/>
      <c r="Q120" s="505"/>
      <c r="R120" s="505"/>
      <c r="S120" s="505"/>
      <c r="T120" s="505"/>
      <c r="U120" s="502"/>
      <c r="V120" s="502"/>
      <c r="W120" s="603"/>
      <c r="X120" s="597"/>
      <c r="Y120" s="602"/>
      <c r="Z120" s="654">
        <f>Q120/2</f>
        <v>0</v>
      </c>
      <c r="AA120" s="617"/>
      <c r="AB120" s="400"/>
      <c r="AC120" s="397"/>
      <c r="AD120" s="1113"/>
      <c r="AE120" s="1113"/>
      <c r="AF120" s="1113"/>
      <c r="AG120" s="654">
        <f>Q120/2</f>
        <v>0</v>
      </c>
      <c r="AH120" s="617"/>
      <c r="AI120" s="400"/>
      <c r="AJ120" s="397"/>
      <c r="AL120" s="611"/>
      <c r="AM120" s="612"/>
      <c r="AN120" s="613"/>
    </row>
    <row r="121" spans="1:40" ht="43.15" hidden="1" customHeight="1">
      <c r="A121" s="496"/>
      <c r="B121" s="497"/>
      <c r="C121" s="497"/>
      <c r="D121" s="497"/>
      <c r="E121" s="529" t="s">
        <v>593</v>
      </c>
      <c r="F121" s="667"/>
      <c r="G121" s="403"/>
      <c r="H121" s="404"/>
      <c r="I121" s="403"/>
      <c r="J121" s="390" t="s">
        <v>365</v>
      </c>
      <c r="K121" s="390" t="s">
        <v>229</v>
      </c>
      <c r="L121" s="416" t="s">
        <v>435</v>
      </c>
      <c r="M121" s="508" t="s">
        <v>515</v>
      </c>
      <c r="N121" s="408">
        <v>20</v>
      </c>
      <c r="O121" s="505"/>
      <c r="P121" s="505"/>
      <c r="Q121" s="505"/>
      <c r="R121" s="505"/>
      <c r="S121" s="505"/>
      <c r="T121" s="505"/>
      <c r="U121" s="502"/>
      <c r="V121" s="502"/>
      <c r="W121" s="603"/>
      <c r="X121" s="597"/>
      <c r="Y121" s="602"/>
      <c r="Z121" s="654">
        <f>Q121/2</f>
        <v>0</v>
      </c>
      <c r="AA121" s="617"/>
      <c r="AB121" s="400"/>
      <c r="AC121" s="397"/>
      <c r="AD121" s="1113"/>
      <c r="AE121" s="1113"/>
      <c r="AF121" s="1113"/>
      <c r="AG121" s="654">
        <f>Q121/2</f>
        <v>0</v>
      </c>
      <c r="AH121" s="617"/>
      <c r="AI121" s="400"/>
      <c r="AJ121" s="397"/>
      <c r="AL121" s="611"/>
      <c r="AM121" s="612"/>
      <c r="AN121" s="613"/>
    </row>
    <row r="122" spans="1:40" s="550" customFormat="1" ht="35.1" hidden="1" customHeight="1">
      <c r="A122" s="573"/>
      <c r="B122" s="551"/>
      <c r="C122" s="551"/>
      <c r="D122" s="551"/>
      <c r="E122" s="561" t="s">
        <v>549</v>
      </c>
      <c r="F122" s="552"/>
      <c r="G122" s="553"/>
      <c r="H122" s="554"/>
      <c r="I122" s="553"/>
      <c r="J122" s="555"/>
      <c r="K122" s="555"/>
      <c r="L122" s="556"/>
      <c r="M122" s="557"/>
      <c r="N122" s="558"/>
      <c r="O122" s="614"/>
      <c r="P122" s="614"/>
      <c r="Q122" s="614"/>
      <c r="R122" s="614"/>
      <c r="S122" s="614"/>
      <c r="T122" s="614"/>
      <c r="U122" s="615"/>
      <c r="V122" s="615"/>
      <c r="W122" s="662"/>
      <c r="X122" s="664"/>
      <c r="Y122" s="665"/>
      <c r="Z122" s="627"/>
      <c r="AA122" s="628"/>
      <c r="AB122" s="629"/>
      <c r="AC122" s="552"/>
      <c r="AD122" s="1117"/>
      <c r="AE122" s="1117"/>
      <c r="AF122" s="1117"/>
      <c r="AG122" s="627"/>
      <c r="AH122" s="628"/>
      <c r="AI122" s="629"/>
      <c r="AJ122" s="552"/>
      <c r="AL122" s="611"/>
      <c r="AM122" s="612"/>
      <c r="AN122" s="613"/>
    </row>
    <row r="123" spans="1:40" s="550" customFormat="1" ht="35.1" hidden="1" customHeight="1">
      <c r="A123" s="573"/>
      <c r="B123" s="542"/>
      <c r="C123" s="542"/>
      <c r="D123" s="542"/>
      <c r="E123" s="518" t="s">
        <v>590</v>
      </c>
      <c r="F123" s="543"/>
      <c r="G123" s="544"/>
      <c r="H123" s="545"/>
      <c r="I123" s="544"/>
      <c r="J123" s="546"/>
      <c r="K123" s="546"/>
      <c r="L123" s="547"/>
      <c r="M123" s="548"/>
      <c r="N123" s="549"/>
      <c r="O123" s="406"/>
      <c r="P123" s="406"/>
      <c r="Q123" s="406"/>
      <c r="R123" s="406"/>
      <c r="S123" s="406"/>
      <c r="T123" s="406"/>
      <c r="U123" s="409"/>
      <c r="V123" s="409"/>
      <c r="W123" s="622"/>
      <c r="X123" s="623"/>
      <c r="Y123" s="624"/>
      <c r="Z123" s="625"/>
      <c r="AA123" s="617"/>
      <c r="AB123" s="626"/>
      <c r="AC123" s="543"/>
      <c r="AD123" s="1116"/>
      <c r="AE123" s="1116"/>
      <c r="AF123" s="1116"/>
      <c r="AG123" s="625"/>
      <c r="AH123" s="617"/>
      <c r="AI123" s="626"/>
      <c r="AJ123" s="543"/>
      <c r="AL123" s="611"/>
      <c r="AM123" s="612"/>
      <c r="AN123" s="613"/>
    </row>
    <row r="124" spans="1:40" ht="54.75" hidden="1" customHeight="1">
      <c r="A124" s="496">
        <v>30</v>
      </c>
      <c r="B124" s="497"/>
      <c r="C124" s="497" t="s">
        <v>584</v>
      </c>
      <c r="D124" s="497"/>
      <c r="E124" s="531" t="s">
        <v>597</v>
      </c>
      <c r="F124" s="668" t="s">
        <v>679</v>
      </c>
      <c r="G124" s="403" t="s">
        <v>607</v>
      </c>
      <c r="H124" s="404" t="s">
        <v>604</v>
      </c>
      <c r="I124" s="403" t="s">
        <v>550</v>
      </c>
      <c r="J124" s="390" t="s">
        <v>365</v>
      </c>
      <c r="K124" s="390" t="s">
        <v>229</v>
      </c>
      <c r="L124" s="416" t="s">
        <v>591</v>
      </c>
      <c r="M124" s="505">
        <v>0</v>
      </c>
      <c r="N124" s="408">
        <f>1*2*5</f>
        <v>10</v>
      </c>
      <c r="O124" s="505"/>
      <c r="P124" s="505"/>
      <c r="Q124" s="505"/>
      <c r="R124" s="505"/>
      <c r="S124" s="505"/>
      <c r="T124" s="505"/>
      <c r="U124" s="502"/>
      <c r="V124" s="502"/>
      <c r="W124" s="603"/>
      <c r="X124" s="597"/>
      <c r="Y124" s="602"/>
      <c r="Z124" s="654">
        <f t="shared" ref="Z124:Z129" si="34">Q124/2</f>
        <v>0</v>
      </c>
      <c r="AA124" s="617"/>
      <c r="AB124" s="400" t="e">
        <f t="shared" si="27"/>
        <v>#DIV/0!</v>
      </c>
      <c r="AC124" s="397"/>
      <c r="AD124" s="1113"/>
      <c r="AE124" s="1113"/>
      <c r="AF124" s="1113"/>
      <c r="AG124" s="654">
        <f t="shared" ref="AG124:AG129" si="35">Q124/2</f>
        <v>0</v>
      </c>
      <c r="AH124" s="617"/>
      <c r="AI124" s="400" t="e">
        <f t="shared" si="0"/>
        <v>#DIV/0!</v>
      </c>
      <c r="AJ124" s="397"/>
      <c r="AL124" s="611"/>
      <c r="AM124" s="612"/>
      <c r="AN124" s="613"/>
    </row>
    <row r="125" spans="1:40" ht="108.75" hidden="1" customHeight="1">
      <c r="A125" s="496">
        <v>31</v>
      </c>
      <c r="B125" s="497"/>
      <c r="C125" s="497" t="s">
        <v>585</v>
      </c>
      <c r="D125" s="497"/>
      <c r="E125" s="531" t="s">
        <v>595</v>
      </c>
      <c r="F125" s="668" t="s">
        <v>679</v>
      </c>
      <c r="G125" s="403" t="s">
        <v>607</v>
      </c>
      <c r="H125" s="404" t="s">
        <v>604</v>
      </c>
      <c r="I125" s="403" t="s">
        <v>551</v>
      </c>
      <c r="J125" s="390" t="s">
        <v>365</v>
      </c>
      <c r="K125" s="390" t="s">
        <v>229</v>
      </c>
      <c r="L125" s="416" t="s">
        <v>594</v>
      </c>
      <c r="M125" s="508" t="s">
        <v>515</v>
      </c>
      <c r="N125" s="408">
        <f>1*2*5</f>
        <v>10</v>
      </c>
      <c r="O125" s="505"/>
      <c r="P125" s="505"/>
      <c r="Q125" s="505"/>
      <c r="R125" s="505"/>
      <c r="S125" s="505"/>
      <c r="T125" s="505"/>
      <c r="U125" s="502"/>
      <c r="V125" s="502"/>
      <c r="W125" s="603"/>
      <c r="X125" s="597"/>
      <c r="Y125" s="602"/>
      <c r="Z125" s="654">
        <f t="shared" si="34"/>
        <v>0</v>
      </c>
      <c r="AA125" s="617"/>
      <c r="AB125" s="400" t="e">
        <f t="shared" si="27"/>
        <v>#DIV/0!</v>
      </c>
      <c r="AC125" s="397"/>
      <c r="AD125" s="1113"/>
      <c r="AE125" s="1113"/>
      <c r="AF125" s="1113"/>
      <c r="AG125" s="654">
        <f t="shared" si="35"/>
        <v>0</v>
      </c>
      <c r="AH125" s="617"/>
      <c r="AI125" s="400" t="e">
        <f t="shared" si="0"/>
        <v>#DIV/0!</v>
      </c>
      <c r="AJ125" s="397"/>
      <c r="AL125" s="611"/>
      <c r="AM125" s="612"/>
      <c r="AN125" s="613"/>
    </row>
    <row r="126" spans="1:40" ht="76.5" hidden="1" customHeight="1">
      <c r="A126" s="496">
        <v>32</v>
      </c>
      <c r="B126" s="497"/>
      <c r="C126" s="497" t="s">
        <v>586</v>
      </c>
      <c r="D126" s="497"/>
      <c r="E126" s="528" t="s">
        <v>609</v>
      </c>
      <c r="F126" s="668" t="s">
        <v>679</v>
      </c>
      <c r="G126" s="403" t="s">
        <v>607</v>
      </c>
      <c r="H126" s="404" t="s">
        <v>604</v>
      </c>
      <c r="I126" s="403" t="s">
        <v>538</v>
      </c>
      <c r="J126" s="390" t="s">
        <v>365</v>
      </c>
      <c r="K126" s="390" t="s">
        <v>229</v>
      </c>
      <c r="L126" s="416"/>
      <c r="M126" s="505"/>
      <c r="N126" s="408"/>
      <c r="O126" s="505"/>
      <c r="P126" s="505"/>
      <c r="Q126" s="505"/>
      <c r="R126" s="505"/>
      <c r="S126" s="505"/>
      <c r="T126" s="505"/>
      <c r="U126" s="502"/>
      <c r="V126" s="502"/>
      <c r="W126" s="603"/>
      <c r="X126" s="597"/>
      <c r="Y126" s="602"/>
      <c r="Z126" s="654">
        <f t="shared" si="34"/>
        <v>0</v>
      </c>
      <c r="AA126" s="617"/>
      <c r="AB126" s="400" t="e">
        <f t="shared" si="27"/>
        <v>#DIV/0!</v>
      </c>
      <c r="AC126" s="397"/>
      <c r="AD126" s="1113"/>
      <c r="AE126" s="1113"/>
      <c r="AF126" s="1113"/>
      <c r="AG126" s="654">
        <f t="shared" si="35"/>
        <v>0</v>
      </c>
      <c r="AH126" s="617"/>
      <c r="AI126" s="400" t="e">
        <f t="shared" si="0"/>
        <v>#DIV/0!</v>
      </c>
      <c r="AJ126" s="397"/>
      <c r="AL126" s="611"/>
      <c r="AM126" s="612"/>
      <c r="AN126" s="613"/>
    </row>
    <row r="127" spans="1:40" ht="55.5" hidden="1" customHeight="1">
      <c r="A127" s="496"/>
      <c r="B127" s="497"/>
      <c r="C127" s="497"/>
      <c r="D127" s="497"/>
      <c r="E127" s="529" t="s">
        <v>598</v>
      </c>
      <c r="F127" s="667" t="s">
        <v>701</v>
      </c>
      <c r="G127" s="403"/>
      <c r="H127" s="404"/>
      <c r="I127" s="403"/>
      <c r="J127" s="390"/>
      <c r="K127" s="390"/>
      <c r="L127" s="416" t="s">
        <v>596</v>
      </c>
      <c r="M127" s="505">
        <v>0</v>
      </c>
      <c r="N127" s="408" t="s">
        <v>599</v>
      </c>
      <c r="O127" s="505"/>
      <c r="P127" s="505"/>
      <c r="Q127" s="505"/>
      <c r="R127" s="505"/>
      <c r="S127" s="505"/>
      <c r="T127" s="505"/>
      <c r="U127" s="502"/>
      <c r="V127" s="502"/>
      <c r="W127" s="603"/>
      <c r="X127" s="597"/>
      <c r="Y127" s="602"/>
      <c r="Z127" s="654">
        <f t="shared" si="34"/>
        <v>0</v>
      </c>
      <c r="AA127" s="617"/>
      <c r="AB127" s="400"/>
      <c r="AC127" s="397"/>
      <c r="AD127" s="1113"/>
      <c r="AE127" s="1113"/>
      <c r="AF127" s="1113"/>
      <c r="AG127" s="654">
        <f t="shared" si="35"/>
        <v>0</v>
      </c>
      <c r="AH127" s="617"/>
      <c r="AI127" s="400"/>
      <c r="AJ127" s="397"/>
      <c r="AL127" s="611"/>
      <c r="AM127" s="612"/>
      <c r="AN127" s="613"/>
    </row>
    <row r="128" spans="1:40" ht="58.5" hidden="1" customHeight="1">
      <c r="A128" s="496"/>
      <c r="B128" s="497"/>
      <c r="C128" s="497"/>
      <c r="D128" s="497"/>
      <c r="E128" s="529" t="s">
        <v>600</v>
      </c>
      <c r="F128" s="667" t="s">
        <v>701</v>
      </c>
      <c r="G128" s="403"/>
      <c r="H128" s="404"/>
      <c r="I128" s="403"/>
      <c r="J128" s="390"/>
      <c r="K128" s="390"/>
      <c r="L128" s="416" t="s">
        <v>134</v>
      </c>
      <c r="M128" s="505">
        <v>0</v>
      </c>
      <c r="N128" s="408" t="s">
        <v>599</v>
      </c>
      <c r="O128" s="505"/>
      <c r="P128" s="505"/>
      <c r="Q128" s="505"/>
      <c r="R128" s="505"/>
      <c r="S128" s="505"/>
      <c r="T128" s="505"/>
      <c r="U128" s="502"/>
      <c r="V128" s="502"/>
      <c r="W128" s="603"/>
      <c r="X128" s="597"/>
      <c r="Y128" s="602"/>
      <c r="Z128" s="654">
        <f t="shared" si="34"/>
        <v>0</v>
      </c>
      <c r="AA128" s="617"/>
      <c r="AB128" s="400"/>
      <c r="AC128" s="397"/>
      <c r="AD128" s="1113"/>
      <c r="AE128" s="1113"/>
      <c r="AF128" s="1113"/>
      <c r="AG128" s="654">
        <f t="shared" si="35"/>
        <v>0</v>
      </c>
      <c r="AH128" s="617"/>
      <c r="AI128" s="400"/>
      <c r="AJ128" s="397"/>
      <c r="AL128" s="611"/>
      <c r="AM128" s="612"/>
      <c r="AN128" s="613"/>
    </row>
    <row r="129" spans="1:40" ht="53.25" hidden="1" customHeight="1">
      <c r="A129" s="496">
        <v>33</v>
      </c>
      <c r="B129" s="497"/>
      <c r="C129" s="497" t="s">
        <v>587</v>
      </c>
      <c r="D129" s="497"/>
      <c r="E129" s="531" t="s">
        <v>589</v>
      </c>
      <c r="F129" s="667" t="s">
        <v>702</v>
      </c>
      <c r="G129" s="403" t="s">
        <v>607</v>
      </c>
      <c r="H129" s="404" t="s">
        <v>604</v>
      </c>
      <c r="I129" s="403" t="s">
        <v>552</v>
      </c>
      <c r="J129" s="390" t="s">
        <v>365</v>
      </c>
      <c r="K129" s="390" t="s">
        <v>229</v>
      </c>
      <c r="L129" s="416" t="s">
        <v>362</v>
      </c>
      <c r="M129" s="508" t="s">
        <v>515</v>
      </c>
      <c r="N129" s="408" t="s">
        <v>599</v>
      </c>
      <c r="O129" s="505"/>
      <c r="P129" s="505"/>
      <c r="Q129" s="505"/>
      <c r="R129" s="505"/>
      <c r="S129" s="505"/>
      <c r="T129" s="505"/>
      <c r="U129" s="502"/>
      <c r="V129" s="502"/>
      <c r="W129" s="603"/>
      <c r="X129" s="597"/>
      <c r="Y129" s="602"/>
      <c r="Z129" s="654">
        <f t="shared" si="34"/>
        <v>0</v>
      </c>
      <c r="AA129" s="617"/>
      <c r="AB129" s="400" t="e">
        <f t="shared" si="27"/>
        <v>#DIV/0!</v>
      </c>
      <c r="AC129" s="397"/>
      <c r="AD129" s="1113"/>
      <c r="AE129" s="1113"/>
      <c r="AF129" s="1113"/>
      <c r="AG129" s="654">
        <f t="shared" si="35"/>
        <v>0</v>
      </c>
      <c r="AH129" s="617"/>
      <c r="AI129" s="400" t="e">
        <f t="shared" si="0"/>
        <v>#DIV/0!</v>
      </c>
      <c r="AJ129" s="397"/>
      <c r="AL129" s="611"/>
      <c r="AM129" s="612"/>
      <c r="AN129" s="613"/>
    </row>
    <row r="130" spans="1:40" s="550" customFormat="1" ht="35.1" hidden="1" customHeight="1">
      <c r="A130" s="573"/>
      <c r="B130" s="542"/>
      <c r="C130" s="542"/>
      <c r="D130" s="542"/>
      <c r="E130" s="518" t="s">
        <v>553</v>
      </c>
      <c r="F130" s="543"/>
      <c r="G130" s="544"/>
      <c r="H130" s="545"/>
      <c r="I130" s="544"/>
      <c r="J130" s="546"/>
      <c r="K130" s="546"/>
      <c r="L130" s="547"/>
      <c r="M130" s="548"/>
      <c r="N130" s="549"/>
      <c r="O130" s="406"/>
      <c r="P130" s="406"/>
      <c r="Q130" s="406"/>
      <c r="R130" s="406"/>
      <c r="S130" s="406"/>
      <c r="T130" s="406"/>
      <c r="U130" s="409"/>
      <c r="V130" s="409"/>
      <c r="W130" s="622"/>
      <c r="X130" s="623"/>
      <c r="Y130" s="624"/>
      <c r="Z130" s="625"/>
      <c r="AA130" s="617"/>
      <c r="AB130" s="626"/>
      <c r="AC130" s="543"/>
      <c r="AD130" s="1116"/>
      <c r="AE130" s="1116"/>
      <c r="AF130" s="1116"/>
      <c r="AG130" s="625"/>
      <c r="AH130" s="617"/>
      <c r="AI130" s="626"/>
      <c r="AJ130" s="543"/>
      <c r="AL130" s="611"/>
      <c r="AM130" s="612"/>
      <c r="AN130" s="613"/>
    </row>
    <row r="131" spans="1:40" ht="142.9" hidden="1" customHeight="1">
      <c r="A131" s="496">
        <v>34</v>
      </c>
      <c r="B131" s="497"/>
      <c r="C131" s="497" t="s">
        <v>588</v>
      </c>
      <c r="D131" s="497"/>
      <c r="E131" s="528" t="s">
        <v>601</v>
      </c>
      <c r="F131" s="668" t="s">
        <v>679</v>
      </c>
      <c r="G131" s="403" t="s">
        <v>607</v>
      </c>
      <c r="H131" s="404" t="s">
        <v>604</v>
      </c>
      <c r="I131" s="403" t="s">
        <v>544</v>
      </c>
      <c r="J131" s="390" t="s">
        <v>365</v>
      </c>
      <c r="K131" s="390" t="s">
        <v>229</v>
      </c>
      <c r="L131" s="416"/>
      <c r="M131" s="508" t="s">
        <v>515</v>
      </c>
      <c r="N131" s="408" t="s">
        <v>599</v>
      </c>
      <c r="O131" s="505"/>
      <c r="P131" s="505"/>
      <c r="Q131" s="505"/>
      <c r="R131" s="505"/>
      <c r="S131" s="505"/>
      <c r="T131" s="505"/>
      <c r="U131" s="502"/>
      <c r="V131" s="502"/>
      <c r="W131" s="603"/>
      <c r="X131" s="597"/>
      <c r="Y131" s="602"/>
      <c r="Z131" s="654">
        <f t="shared" ref="Z131:Z138" si="36">Q131/2</f>
        <v>0</v>
      </c>
      <c r="AA131" s="617"/>
      <c r="AB131" s="400" t="e">
        <f t="shared" si="27"/>
        <v>#DIV/0!</v>
      </c>
      <c r="AC131" s="397"/>
      <c r="AD131" s="1113"/>
      <c r="AE131" s="1113"/>
      <c r="AF131" s="1113"/>
      <c r="AG131" s="654">
        <f t="shared" ref="AG131:AG138" si="37">Q131/2</f>
        <v>0</v>
      </c>
      <c r="AH131" s="617"/>
      <c r="AI131" s="400" t="e">
        <f t="shared" si="0"/>
        <v>#DIV/0!</v>
      </c>
      <c r="AJ131" s="397"/>
      <c r="AL131" s="611"/>
      <c r="AM131" s="612"/>
      <c r="AN131" s="613"/>
    </row>
    <row r="132" spans="1:40" ht="38.25" hidden="1">
      <c r="A132" s="506"/>
      <c r="B132" s="497"/>
      <c r="C132" s="497"/>
      <c r="D132" s="497"/>
      <c r="E132" s="503" t="s">
        <v>605</v>
      </c>
      <c r="F132" s="667"/>
      <c r="G132" s="403"/>
      <c r="H132" s="404" t="s">
        <v>576</v>
      </c>
      <c r="I132" s="403"/>
      <c r="J132" s="390"/>
      <c r="K132" s="390"/>
      <c r="L132" s="416" t="s">
        <v>602</v>
      </c>
      <c r="M132" s="508" t="s">
        <v>515</v>
      </c>
      <c r="N132" s="408" t="s">
        <v>599</v>
      </c>
      <c r="O132" s="505"/>
      <c r="P132" s="505"/>
      <c r="Q132" s="505"/>
      <c r="R132" s="505"/>
      <c r="S132" s="505"/>
      <c r="T132" s="505"/>
      <c r="U132" s="502"/>
      <c r="V132" s="502"/>
      <c r="W132" s="603"/>
      <c r="X132" s="597"/>
      <c r="Y132" s="602"/>
      <c r="Z132" s="654">
        <f t="shared" si="36"/>
        <v>0</v>
      </c>
      <c r="AA132" s="617"/>
      <c r="AB132" s="400" t="e">
        <f t="shared" si="27"/>
        <v>#DIV/0!</v>
      </c>
      <c r="AC132" s="397"/>
      <c r="AD132" s="1113"/>
      <c r="AE132" s="1113"/>
      <c r="AF132" s="1113"/>
      <c r="AG132" s="654">
        <f t="shared" si="37"/>
        <v>0</v>
      </c>
      <c r="AH132" s="617"/>
      <c r="AI132" s="400" t="e">
        <f t="shared" si="0"/>
        <v>#DIV/0!</v>
      </c>
      <c r="AJ132" s="397"/>
      <c r="AL132" s="611"/>
      <c r="AM132" s="612"/>
      <c r="AN132" s="613"/>
    </row>
    <row r="133" spans="1:40" ht="43.15" hidden="1" customHeight="1">
      <c r="A133" s="506"/>
      <c r="B133" s="497"/>
      <c r="C133" s="497"/>
      <c r="D133" s="497"/>
      <c r="E133" s="529" t="s">
        <v>649</v>
      </c>
      <c r="F133" s="667"/>
      <c r="G133" s="403"/>
      <c r="H133" s="404" t="s">
        <v>604</v>
      </c>
      <c r="I133" s="403"/>
      <c r="J133" s="390"/>
      <c r="K133" s="390"/>
      <c r="L133" s="416" t="s">
        <v>606</v>
      </c>
      <c r="M133" s="508" t="s">
        <v>515</v>
      </c>
      <c r="N133" s="408" t="s">
        <v>599</v>
      </c>
      <c r="O133" s="505"/>
      <c r="P133" s="505"/>
      <c r="Q133" s="505"/>
      <c r="R133" s="505"/>
      <c r="S133" s="505"/>
      <c r="T133" s="505"/>
      <c r="U133" s="502"/>
      <c r="V133" s="502"/>
      <c r="W133" s="603"/>
      <c r="X133" s="597"/>
      <c r="Y133" s="602"/>
      <c r="Z133" s="654">
        <f t="shared" si="36"/>
        <v>0</v>
      </c>
      <c r="AA133" s="617"/>
      <c r="AB133" s="400" t="e">
        <f t="shared" si="27"/>
        <v>#DIV/0!</v>
      </c>
      <c r="AC133" s="397"/>
      <c r="AD133" s="1113"/>
      <c r="AE133" s="1113"/>
      <c r="AF133" s="1113"/>
      <c r="AG133" s="654">
        <f t="shared" si="37"/>
        <v>0</v>
      </c>
      <c r="AH133" s="617"/>
      <c r="AI133" s="400" t="e">
        <f t="shared" si="0"/>
        <v>#DIV/0!</v>
      </c>
      <c r="AJ133" s="397"/>
      <c r="AL133" s="611"/>
      <c r="AM133" s="612"/>
      <c r="AN133" s="613"/>
    </row>
    <row r="134" spans="1:40" ht="33" hidden="1" customHeight="1">
      <c r="A134" s="506"/>
      <c r="B134" s="497"/>
      <c r="C134" s="497"/>
      <c r="D134" s="497"/>
      <c r="E134" s="529" t="s">
        <v>650</v>
      </c>
      <c r="F134" s="667"/>
      <c r="G134" s="403"/>
      <c r="H134" s="404" t="s">
        <v>604</v>
      </c>
      <c r="I134" s="403"/>
      <c r="J134" s="390"/>
      <c r="K134" s="390"/>
      <c r="L134" s="416" t="s">
        <v>435</v>
      </c>
      <c r="M134" s="508" t="s">
        <v>515</v>
      </c>
      <c r="N134" s="408">
        <v>15</v>
      </c>
      <c r="O134" s="505"/>
      <c r="P134" s="505"/>
      <c r="Q134" s="505"/>
      <c r="R134" s="505"/>
      <c r="S134" s="505"/>
      <c r="T134" s="505"/>
      <c r="U134" s="502"/>
      <c r="V134" s="502"/>
      <c r="W134" s="603"/>
      <c r="X134" s="597"/>
      <c r="Y134" s="602"/>
      <c r="Z134" s="654">
        <f t="shared" si="36"/>
        <v>0</v>
      </c>
      <c r="AA134" s="617"/>
      <c r="AB134" s="400" t="e">
        <f t="shared" si="27"/>
        <v>#DIV/0!</v>
      </c>
      <c r="AC134" s="397"/>
      <c r="AD134" s="1113"/>
      <c r="AE134" s="1113"/>
      <c r="AF134" s="1113"/>
      <c r="AG134" s="654">
        <f t="shared" si="37"/>
        <v>0</v>
      </c>
      <c r="AH134" s="617"/>
      <c r="AI134" s="400" t="e">
        <f t="shared" si="0"/>
        <v>#DIV/0!</v>
      </c>
      <c r="AJ134" s="397"/>
      <c r="AL134" s="611"/>
      <c r="AM134" s="612"/>
      <c r="AN134" s="613"/>
    </row>
    <row r="135" spans="1:40" ht="49.5" hidden="1" customHeight="1">
      <c r="A135" s="506"/>
      <c r="B135" s="497"/>
      <c r="C135" s="497"/>
      <c r="D135" s="497"/>
      <c r="E135" s="529" t="s">
        <v>651</v>
      </c>
      <c r="F135" s="667"/>
      <c r="G135" s="403"/>
      <c r="H135" s="404" t="s">
        <v>604</v>
      </c>
      <c r="I135" s="403"/>
      <c r="J135" s="390"/>
      <c r="K135" s="390"/>
      <c r="L135" s="416" t="s">
        <v>435</v>
      </c>
      <c r="M135" s="508" t="s">
        <v>515</v>
      </c>
      <c r="N135" s="408">
        <v>15</v>
      </c>
      <c r="O135" s="505"/>
      <c r="P135" s="505"/>
      <c r="Q135" s="505"/>
      <c r="R135" s="505"/>
      <c r="S135" s="505"/>
      <c r="T135" s="505"/>
      <c r="U135" s="502"/>
      <c r="V135" s="502"/>
      <c r="W135" s="603"/>
      <c r="X135" s="597"/>
      <c r="Y135" s="602"/>
      <c r="Z135" s="654">
        <f t="shared" si="36"/>
        <v>0</v>
      </c>
      <c r="AA135" s="617"/>
      <c r="AB135" s="400"/>
      <c r="AC135" s="397"/>
      <c r="AD135" s="1113"/>
      <c r="AE135" s="1113"/>
      <c r="AF135" s="1113"/>
      <c r="AG135" s="654">
        <f t="shared" si="37"/>
        <v>0</v>
      </c>
      <c r="AH135" s="617"/>
      <c r="AI135" s="400"/>
      <c r="AJ135" s="397"/>
      <c r="AL135" s="611"/>
      <c r="AM135" s="612"/>
      <c r="AN135" s="613"/>
    </row>
    <row r="136" spans="1:40" ht="53.25" hidden="1" customHeight="1">
      <c r="A136" s="506"/>
      <c r="B136" s="497"/>
      <c r="C136" s="497"/>
      <c r="D136" s="497"/>
      <c r="E136" s="529" t="s">
        <v>652</v>
      </c>
      <c r="F136" s="667"/>
      <c r="G136" s="403"/>
      <c r="H136" s="404" t="s">
        <v>604</v>
      </c>
      <c r="I136" s="403"/>
      <c r="J136" s="390"/>
      <c r="K136" s="390"/>
      <c r="L136" s="416" t="s">
        <v>435</v>
      </c>
      <c r="M136" s="508" t="s">
        <v>515</v>
      </c>
      <c r="N136" s="408">
        <v>10</v>
      </c>
      <c r="O136" s="505"/>
      <c r="P136" s="505"/>
      <c r="Q136" s="505"/>
      <c r="R136" s="505"/>
      <c r="S136" s="505"/>
      <c r="T136" s="505"/>
      <c r="U136" s="502"/>
      <c r="V136" s="502"/>
      <c r="W136" s="603"/>
      <c r="X136" s="597"/>
      <c r="Y136" s="602"/>
      <c r="Z136" s="654">
        <f t="shared" si="36"/>
        <v>0</v>
      </c>
      <c r="AA136" s="617"/>
      <c r="AB136" s="400" t="e">
        <f t="shared" si="27"/>
        <v>#DIV/0!</v>
      </c>
      <c r="AC136" s="397"/>
      <c r="AD136" s="1113"/>
      <c r="AE136" s="1113"/>
      <c r="AF136" s="1113"/>
      <c r="AG136" s="654">
        <f t="shared" si="37"/>
        <v>0</v>
      </c>
      <c r="AH136" s="617"/>
      <c r="AI136" s="400" t="e">
        <f t="shared" si="0"/>
        <v>#DIV/0!</v>
      </c>
      <c r="AJ136" s="397"/>
      <c r="AL136" s="611"/>
      <c r="AM136" s="612"/>
      <c r="AN136" s="613"/>
    </row>
    <row r="137" spans="1:40" ht="54.75" hidden="1" customHeight="1">
      <c r="A137" s="506"/>
      <c r="B137" s="497"/>
      <c r="C137" s="497"/>
      <c r="D137" s="497"/>
      <c r="E137" s="529" t="s">
        <v>653</v>
      </c>
      <c r="F137" s="667"/>
      <c r="G137" s="403"/>
      <c r="H137" s="404" t="s">
        <v>604</v>
      </c>
      <c r="I137" s="403"/>
      <c r="J137" s="390"/>
      <c r="K137" s="390"/>
      <c r="L137" s="416" t="s">
        <v>435</v>
      </c>
      <c r="M137" s="508" t="s">
        <v>515</v>
      </c>
      <c r="N137" s="408">
        <v>10</v>
      </c>
      <c r="O137" s="505"/>
      <c r="P137" s="505"/>
      <c r="Q137" s="505"/>
      <c r="R137" s="505"/>
      <c r="S137" s="505"/>
      <c r="T137" s="505"/>
      <c r="U137" s="502"/>
      <c r="V137" s="502"/>
      <c r="W137" s="603"/>
      <c r="X137" s="597"/>
      <c r="Y137" s="602"/>
      <c r="Z137" s="654">
        <f t="shared" si="36"/>
        <v>0</v>
      </c>
      <c r="AA137" s="617"/>
      <c r="AB137" s="400"/>
      <c r="AC137" s="397"/>
      <c r="AD137" s="1113"/>
      <c r="AE137" s="1113"/>
      <c r="AF137" s="1113"/>
      <c r="AG137" s="654">
        <f t="shared" si="37"/>
        <v>0</v>
      </c>
      <c r="AH137" s="617"/>
      <c r="AI137" s="400"/>
      <c r="AJ137" s="397"/>
      <c r="AL137" s="611"/>
      <c r="AM137" s="612"/>
      <c r="AN137" s="613"/>
    </row>
    <row r="138" spans="1:40" ht="43.15" hidden="1" customHeight="1" thickBot="1">
      <c r="A138" s="506"/>
      <c r="B138" s="497"/>
      <c r="C138" s="497"/>
      <c r="D138" s="497"/>
      <c r="E138" s="529" t="s">
        <v>603</v>
      </c>
      <c r="F138" s="667"/>
      <c r="G138" s="403"/>
      <c r="H138" s="404" t="s">
        <v>604</v>
      </c>
      <c r="I138" s="403"/>
      <c r="J138" s="390"/>
      <c r="K138" s="390"/>
      <c r="L138" s="416" t="s">
        <v>435</v>
      </c>
      <c r="M138" s="508" t="s">
        <v>515</v>
      </c>
      <c r="N138" s="408">
        <v>20000</v>
      </c>
      <c r="O138" s="505"/>
      <c r="P138" s="505"/>
      <c r="Q138" s="505"/>
      <c r="R138" s="505"/>
      <c r="S138" s="505"/>
      <c r="T138" s="505"/>
      <c r="U138" s="502"/>
      <c r="V138" s="502"/>
      <c r="W138" s="605"/>
      <c r="X138" s="606"/>
      <c r="Y138" s="607"/>
      <c r="Z138" s="654">
        <f t="shared" si="36"/>
        <v>0</v>
      </c>
      <c r="AA138" s="617"/>
      <c r="AB138" s="400" t="e">
        <f t="shared" si="27"/>
        <v>#DIV/0!</v>
      </c>
      <c r="AC138" s="397"/>
      <c r="AD138" s="1113"/>
      <c r="AE138" s="1113"/>
      <c r="AF138" s="1113"/>
      <c r="AG138" s="654">
        <f t="shared" si="37"/>
        <v>0</v>
      </c>
      <c r="AH138" s="617"/>
      <c r="AI138" s="400" t="e">
        <f t="shared" si="0"/>
        <v>#DIV/0!</v>
      </c>
      <c r="AJ138" s="397"/>
      <c r="AL138" s="618"/>
      <c r="AM138" s="619"/>
      <c r="AN138" s="620"/>
    </row>
    <row r="139" spans="1:40" ht="43.15" hidden="1" customHeight="1" thickBot="1">
      <c r="A139" s="506"/>
      <c r="B139" s="497"/>
      <c r="C139" s="497"/>
      <c r="D139" s="497"/>
      <c r="E139" s="503"/>
      <c r="F139" s="397"/>
      <c r="G139" s="403"/>
      <c r="H139" s="404"/>
      <c r="I139" s="403"/>
      <c r="J139" s="390"/>
      <c r="K139" s="390"/>
      <c r="L139" s="416"/>
      <c r="M139" s="407"/>
      <c r="N139" s="408"/>
      <c r="O139" s="406"/>
      <c r="P139" s="406"/>
      <c r="Q139" s="406"/>
      <c r="R139" s="406"/>
      <c r="S139" s="406"/>
      <c r="T139" s="406"/>
      <c r="U139" s="409"/>
      <c r="V139" s="601"/>
      <c r="W139" s="601"/>
      <c r="X139" s="601"/>
      <c r="Y139" s="601"/>
      <c r="Z139" s="401"/>
      <c r="AA139" s="399"/>
      <c r="AB139" s="400" t="e">
        <f t="shared" si="27"/>
        <v>#DIV/0!</v>
      </c>
      <c r="AC139" s="397"/>
      <c r="AD139" s="1113"/>
      <c r="AE139" s="1113"/>
      <c r="AF139" s="1113"/>
      <c r="AG139" s="398"/>
      <c r="AH139" s="399"/>
      <c r="AI139" s="400" t="e">
        <f t="shared" si="0"/>
        <v>#DIV/0!</v>
      </c>
      <c r="AJ139" s="397"/>
    </row>
    <row r="140" spans="1:40" ht="43.15" hidden="1" customHeight="1">
      <c r="A140" s="506"/>
      <c r="B140" s="497"/>
      <c r="C140" s="497"/>
      <c r="D140" s="497"/>
      <c r="E140" s="498"/>
      <c r="F140" s="397"/>
      <c r="G140" s="403"/>
      <c r="H140" s="404"/>
      <c r="I140" s="403"/>
      <c r="J140" s="390"/>
      <c r="K140" s="390"/>
      <c r="L140" s="416"/>
      <c r="M140" s="407"/>
      <c r="N140" s="408"/>
      <c r="O140" s="406"/>
      <c r="P140" s="406"/>
      <c r="Q140" s="406"/>
      <c r="R140" s="406"/>
      <c r="S140" s="406"/>
      <c r="T140" s="406"/>
      <c r="U140" s="409"/>
      <c r="V140" s="599"/>
      <c r="W140" s="599"/>
      <c r="X140" s="599"/>
      <c r="Y140" s="599"/>
      <c r="Z140" s="401"/>
      <c r="AA140" s="399"/>
      <c r="AB140" s="400" t="e">
        <f t="shared" si="27"/>
        <v>#DIV/0!</v>
      </c>
      <c r="AC140" s="397"/>
      <c r="AD140" s="1113"/>
      <c r="AE140" s="1113"/>
      <c r="AF140" s="1113"/>
      <c r="AG140" s="398"/>
      <c r="AH140" s="399"/>
      <c r="AI140" s="400" t="e">
        <f t="shared" si="0"/>
        <v>#DIV/0!</v>
      </c>
      <c r="AJ140" s="397"/>
    </row>
    <row r="141" spans="1:40" ht="43.15" hidden="1" customHeight="1">
      <c r="A141" s="506"/>
      <c r="B141" s="497"/>
      <c r="C141" s="497"/>
      <c r="D141" s="497"/>
      <c r="E141" s="498"/>
      <c r="F141" s="397"/>
      <c r="G141" s="403"/>
      <c r="H141" s="404"/>
      <c r="I141" s="403"/>
      <c r="J141" s="390"/>
      <c r="K141" s="390"/>
      <c r="L141" s="416"/>
      <c r="M141" s="407"/>
      <c r="N141" s="408"/>
      <c r="O141" s="406"/>
      <c r="P141" s="406"/>
      <c r="Q141" s="406"/>
      <c r="R141" s="406"/>
      <c r="S141" s="406"/>
      <c r="T141" s="406"/>
      <c r="U141" s="409"/>
      <c r="V141" s="599"/>
      <c r="W141" s="599"/>
      <c r="X141" s="599"/>
      <c r="Y141" s="599"/>
      <c r="Z141" s="401"/>
      <c r="AA141" s="399"/>
      <c r="AB141" s="400" t="e">
        <f t="shared" si="27"/>
        <v>#DIV/0!</v>
      </c>
      <c r="AC141" s="397"/>
      <c r="AD141" s="1113"/>
      <c r="AE141" s="1113"/>
      <c r="AF141" s="1113"/>
      <c r="AG141" s="398"/>
      <c r="AH141" s="399"/>
      <c r="AI141" s="400" t="e">
        <f t="shared" si="0"/>
        <v>#DIV/0!</v>
      </c>
      <c r="AJ141" s="397"/>
    </row>
    <row r="142" spans="1:40" ht="43.15" hidden="1" customHeight="1">
      <c r="A142" s="506"/>
      <c r="B142" s="497"/>
      <c r="C142" s="497"/>
      <c r="D142" s="497"/>
      <c r="E142" s="498"/>
      <c r="F142" s="397"/>
      <c r="G142" s="403"/>
      <c r="H142" s="404"/>
      <c r="I142" s="403"/>
      <c r="J142" s="390"/>
      <c r="K142" s="390"/>
      <c r="L142" s="416"/>
      <c r="M142" s="407"/>
      <c r="N142" s="408"/>
      <c r="O142" s="406"/>
      <c r="P142" s="406"/>
      <c r="Q142" s="406"/>
      <c r="R142" s="406"/>
      <c r="S142" s="406"/>
      <c r="T142" s="406"/>
      <c r="U142" s="409"/>
      <c r="V142" s="599"/>
      <c r="W142" s="599"/>
      <c r="X142" s="599"/>
      <c r="Y142" s="599"/>
      <c r="Z142" s="401"/>
      <c r="AA142" s="399"/>
      <c r="AB142" s="400" t="e">
        <f t="shared" si="27"/>
        <v>#DIV/0!</v>
      </c>
      <c r="AC142" s="397"/>
      <c r="AD142" s="1113"/>
      <c r="AE142" s="1113"/>
      <c r="AF142" s="1113"/>
      <c r="AG142" s="398"/>
      <c r="AH142" s="399"/>
      <c r="AI142" s="400" t="e">
        <f t="shared" si="0"/>
        <v>#DIV/0!</v>
      </c>
      <c r="AJ142" s="397"/>
    </row>
    <row r="143" spans="1:40" ht="43.15" hidden="1" customHeight="1">
      <c r="A143" s="506"/>
      <c r="B143" s="497"/>
      <c r="C143" s="497"/>
      <c r="D143" s="497"/>
      <c r="E143" s="498"/>
      <c r="F143" s="397"/>
      <c r="G143" s="403"/>
      <c r="H143" s="404"/>
      <c r="I143" s="403"/>
      <c r="J143" s="390"/>
      <c r="K143" s="390"/>
      <c r="L143" s="416"/>
      <c r="M143" s="407"/>
      <c r="N143" s="408"/>
      <c r="O143" s="406"/>
      <c r="P143" s="406"/>
      <c r="Q143" s="406"/>
      <c r="R143" s="406"/>
      <c r="S143" s="406"/>
      <c r="T143" s="406"/>
      <c r="U143" s="409"/>
      <c r="V143" s="599"/>
      <c r="W143" s="599"/>
      <c r="X143" s="599"/>
      <c r="Y143" s="599"/>
      <c r="Z143" s="401"/>
      <c r="AA143" s="399"/>
      <c r="AB143" s="400" t="e">
        <f t="shared" ref="AB143:AB198" si="38">AA143/Z143</f>
        <v>#DIV/0!</v>
      </c>
      <c r="AC143" s="397"/>
      <c r="AD143" s="1113"/>
      <c r="AE143" s="1113"/>
      <c r="AF143" s="1113"/>
      <c r="AG143" s="398"/>
      <c r="AH143" s="399"/>
      <c r="AI143" s="400" t="e">
        <f t="shared" ref="AI143:AI198" si="39">AH143/AG143</f>
        <v>#DIV/0!</v>
      </c>
      <c r="AJ143" s="397"/>
    </row>
    <row r="144" spans="1:40" ht="43.15" hidden="1" customHeight="1">
      <c r="A144" s="506"/>
      <c r="B144" s="497"/>
      <c r="C144" s="497"/>
      <c r="D144" s="497"/>
      <c r="E144" s="498"/>
      <c r="F144" s="397"/>
      <c r="G144" s="403"/>
      <c r="H144" s="404"/>
      <c r="I144" s="403"/>
      <c r="J144" s="390"/>
      <c r="K144" s="390"/>
      <c r="L144" s="416"/>
      <c r="M144" s="407"/>
      <c r="N144" s="408"/>
      <c r="O144" s="406"/>
      <c r="P144" s="406"/>
      <c r="Q144" s="406"/>
      <c r="R144" s="406"/>
      <c r="S144" s="406"/>
      <c r="T144" s="406"/>
      <c r="U144" s="409"/>
      <c r="V144" s="599"/>
      <c r="W144" s="599"/>
      <c r="X144" s="599"/>
      <c r="Y144" s="599"/>
      <c r="Z144" s="401"/>
      <c r="AA144" s="399"/>
      <c r="AB144" s="400" t="e">
        <f t="shared" si="38"/>
        <v>#DIV/0!</v>
      </c>
      <c r="AC144" s="397"/>
      <c r="AD144" s="1113"/>
      <c r="AE144" s="1113"/>
      <c r="AF144" s="1113"/>
      <c r="AG144" s="398"/>
      <c r="AH144" s="399"/>
      <c r="AI144" s="400" t="e">
        <f t="shared" si="39"/>
        <v>#DIV/0!</v>
      </c>
      <c r="AJ144" s="397"/>
    </row>
    <row r="145" spans="1:36" ht="43.15" hidden="1" customHeight="1">
      <c r="A145" s="506"/>
      <c r="B145" s="497"/>
      <c r="C145" s="497"/>
      <c r="D145" s="497"/>
      <c r="E145" s="498"/>
      <c r="F145" s="397"/>
      <c r="G145" s="403"/>
      <c r="H145" s="404"/>
      <c r="I145" s="403"/>
      <c r="J145" s="390"/>
      <c r="K145" s="390"/>
      <c r="L145" s="416"/>
      <c r="M145" s="407"/>
      <c r="N145" s="408"/>
      <c r="O145" s="406"/>
      <c r="P145" s="406"/>
      <c r="Q145" s="406"/>
      <c r="R145" s="406"/>
      <c r="S145" s="406"/>
      <c r="T145" s="406"/>
      <c r="U145" s="409"/>
      <c r="V145" s="599"/>
      <c r="W145" s="599"/>
      <c r="X145" s="599"/>
      <c r="Y145" s="599"/>
      <c r="Z145" s="401"/>
      <c r="AA145" s="399"/>
      <c r="AB145" s="400" t="e">
        <f t="shared" si="38"/>
        <v>#DIV/0!</v>
      </c>
      <c r="AC145" s="397"/>
      <c r="AD145" s="1113"/>
      <c r="AE145" s="1113"/>
      <c r="AF145" s="1113"/>
      <c r="AG145" s="398"/>
      <c r="AH145" s="399"/>
      <c r="AI145" s="400" t="e">
        <f t="shared" si="39"/>
        <v>#DIV/0!</v>
      </c>
      <c r="AJ145" s="397"/>
    </row>
    <row r="146" spans="1:36" ht="43.15" hidden="1" customHeight="1">
      <c r="A146" s="506"/>
      <c r="B146" s="497"/>
      <c r="C146" s="497"/>
      <c r="D146" s="497"/>
      <c r="E146" s="498"/>
      <c r="F146" s="397"/>
      <c r="G146" s="403"/>
      <c r="H146" s="404"/>
      <c r="I146" s="403"/>
      <c r="J146" s="390"/>
      <c r="K146" s="390"/>
      <c r="L146" s="416"/>
      <c r="M146" s="407"/>
      <c r="N146" s="408"/>
      <c r="O146" s="406"/>
      <c r="P146" s="406"/>
      <c r="Q146" s="406"/>
      <c r="R146" s="406"/>
      <c r="S146" s="406"/>
      <c r="T146" s="406"/>
      <c r="U146" s="409"/>
      <c r="V146" s="599"/>
      <c r="W146" s="599"/>
      <c r="X146" s="599"/>
      <c r="Y146" s="599"/>
      <c r="Z146" s="401"/>
      <c r="AA146" s="399"/>
      <c r="AB146" s="400" t="e">
        <f t="shared" si="38"/>
        <v>#DIV/0!</v>
      </c>
      <c r="AC146" s="397"/>
      <c r="AD146" s="1113"/>
      <c r="AE146" s="1113"/>
      <c r="AF146" s="1113"/>
      <c r="AG146" s="398"/>
      <c r="AH146" s="399"/>
      <c r="AI146" s="400" t="e">
        <f t="shared" si="39"/>
        <v>#DIV/0!</v>
      </c>
      <c r="AJ146" s="397"/>
    </row>
    <row r="147" spans="1:36" ht="43.15" hidden="1" customHeight="1">
      <c r="A147" s="506"/>
      <c r="B147" s="497"/>
      <c r="C147" s="497"/>
      <c r="D147" s="497"/>
      <c r="E147" s="498"/>
      <c r="F147" s="397"/>
      <c r="G147" s="403"/>
      <c r="H147" s="404"/>
      <c r="I147" s="403"/>
      <c r="J147" s="390"/>
      <c r="K147" s="390"/>
      <c r="L147" s="416"/>
      <c r="M147" s="407"/>
      <c r="N147" s="408"/>
      <c r="O147" s="406"/>
      <c r="P147" s="406"/>
      <c r="Q147" s="406"/>
      <c r="R147" s="406"/>
      <c r="S147" s="406"/>
      <c r="T147" s="406"/>
      <c r="U147" s="409"/>
      <c r="V147" s="599"/>
      <c r="W147" s="599"/>
      <c r="X147" s="599"/>
      <c r="Y147" s="599"/>
      <c r="Z147" s="401"/>
      <c r="AA147" s="399"/>
      <c r="AB147" s="400" t="e">
        <f t="shared" si="38"/>
        <v>#DIV/0!</v>
      </c>
      <c r="AC147" s="397"/>
      <c r="AD147" s="1113"/>
      <c r="AE147" s="1113"/>
      <c r="AF147" s="1113"/>
      <c r="AG147" s="398"/>
      <c r="AH147" s="399"/>
      <c r="AI147" s="400" t="e">
        <f t="shared" si="39"/>
        <v>#DIV/0!</v>
      </c>
      <c r="AJ147" s="397"/>
    </row>
    <row r="148" spans="1:36" ht="43.15" hidden="1" customHeight="1">
      <c r="A148" s="506"/>
      <c r="B148" s="497"/>
      <c r="C148" s="497"/>
      <c r="D148" s="497"/>
      <c r="E148" s="498"/>
      <c r="F148" s="397"/>
      <c r="G148" s="403"/>
      <c r="H148" s="404"/>
      <c r="I148" s="403"/>
      <c r="J148" s="390"/>
      <c r="K148" s="390"/>
      <c r="L148" s="416"/>
      <c r="M148" s="407"/>
      <c r="N148" s="408"/>
      <c r="O148" s="406"/>
      <c r="P148" s="406"/>
      <c r="Q148" s="406"/>
      <c r="R148" s="406"/>
      <c r="S148" s="406"/>
      <c r="T148" s="406"/>
      <c r="U148" s="409"/>
      <c r="V148" s="599"/>
      <c r="W148" s="599"/>
      <c r="X148" s="599"/>
      <c r="Y148" s="599"/>
      <c r="Z148" s="401"/>
      <c r="AA148" s="399"/>
      <c r="AB148" s="400" t="e">
        <f t="shared" si="38"/>
        <v>#DIV/0!</v>
      </c>
      <c r="AC148" s="397"/>
      <c r="AD148" s="1113"/>
      <c r="AE148" s="1113"/>
      <c r="AF148" s="1113"/>
      <c r="AG148" s="398"/>
      <c r="AH148" s="399"/>
      <c r="AI148" s="400" t="e">
        <f t="shared" si="39"/>
        <v>#DIV/0!</v>
      </c>
      <c r="AJ148" s="397"/>
    </row>
    <row r="149" spans="1:36" ht="43.15" hidden="1" customHeight="1">
      <c r="A149" s="506"/>
      <c r="B149" s="497"/>
      <c r="C149" s="497"/>
      <c r="D149" s="497"/>
      <c r="E149" s="498"/>
      <c r="F149" s="397"/>
      <c r="G149" s="403"/>
      <c r="H149" s="404"/>
      <c r="I149" s="403"/>
      <c r="J149" s="390"/>
      <c r="K149" s="390"/>
      <c r="L149" s="416"/>
      <c r="M149" s="407"/>
      <c r="N149" s="408"/>
      <c r="O149" s="406"/>
      <c r="P149" s="406"/>
      <c r="Q149" s="406"/>
      <c r="R149" s="406"/>
      <c r="S149" s="406"/>
      <c r="T149" s="406"/>
      <c r="U149" s="409"/>
      <c r="V149" s="599"/>
      <c r="W149" s="599"/>
      <c r="X149" s="599"/>
      <c r="Y149" s="599"/>
      <c r="Z149" s="401"/>
      <c r="AA149" s="399"/>
      <c r="AB149" s="400" t="e">
        <f t="shared" si="38"/>
        <v>#DIV/0!</v>
      </c>
      <c r="AC149" s="397"/>
      <c r="AD149" s="1113"/>
      <c r="AE149" s="1113"/>
      <c r="AF149" s="1113"/>
      <c r="AG149" s="398"/>
      <c r="AH149" s="399"/>
      <c r="AI149" s="400" t="e">
        <f t="shared" si="39"/>
        <v>#DIV/0!</v>
      </c>
      <c r="AJ149" s="397"/>
    </row>
    <row r="150" spans="1:36" ht="43.15" hidden="1" customHeight="1">
      <c r="A150" s="506"/>
      <c r="B150" s="497"/>
      <c r="C150" s="497"/>
      <c r="D150" s="497"/>
      <c r="E150" s="498"/>
      <c r="F150" s="397"/>
      <c r="G150" s="403"/>
      <c r="H150" s="404"/>
      <c r="I150" s="403"/>
      <c r="J150" s="390"/>
      <c r="K150" s="390"/>
      <c r="L150" s="416"/>
      <c r="M150" s="407"/>
      <c r="N150" s="408"/>
      <c r="O150" s="406"/>
      <c r="P150" s="406"/>
      <c r="Q150" s="406"/>
      <c r="R150" s="406"/>
      <c r="S150" s="406"/>
      <c r="T150" s="406"/>
      <c r="U150" s="409"/>
      <c r="V150" s="599"/>
      <c r="W150" s="599"/>
      <c r="X150" s="599"/>
      <c r="Y150" s="599"/>
      <c r="Z150" s="401"/>
      <c r="AA150" s="399"/>
      <c r="AB150" s="400" t="e">
        <f t="shared" si="38"/>
        <v>#DIV/0!</v>
      </c>
      <c r="AC150" s="397"/>
      <c r="AD150" s="1113"/>
      <c r="AE150" s="1113"/>
      <c r="AF150" s="1113"/>
      <c r="AG150" s="398"/>
      <c r="AH150" s="399"/>
      <c r="AI150" s="400" t="e">
        <f t="shared" si="39"/>
        <v>#DIV/0!</v>
      </c>
      <c r="AJ150" s="397"/>
    </row>
    <row r="151" spans="1:36" ht="43.15" hidden="1" customHeight="1">
      <c r="A151" s="506"/>
      <c r="B151" s="497"/>
      <c r="C151" s="497"/>
      <c r="D151" s="497"/>
      <c r="E151" s="498"/>
      <c r="F151" s="397"/>
      <c r="G151" s="403"/>
      <c r="H151" s="404"/>
      <c r="I151" s="403"/>
      <c r="J151" s="390"/>
      <c r="K151" s="390"/>
      <c r="L151" s="416"/>
      <c r="M151" s="407"/>
      <c r="N151" s="408"/>
      <c r="O151" s="406"/>
      <c r="P151" s="406"/>
      <c r="Q151" s="406"/>
      <c r="R151" s="406"/>
      <c r="S151" s="406"/>
      <c r="T151" s="406"/>
      <c r="U151" s="409"/>
      <c r="V151" s="599"/>
      <c r="W151" s="599"/>
      <c r="X151" s="599"/>
      <c r="Y151" s="599"/>
      <c r="Z151" s="401"/>
      <c r="AA151" s="399"/>
      <c r="AB151" s="400" t="e">
        <f t="shared" si="38"/>
        <v>#DIV/0!</v>
      </c>
      <c r="AC151" s="397"/>
      <c r="AD151" s="1113"/>
      <c r="AE151" s="1113"/>
      <c r="AF151" s="1113"/>
      <c r="AG151" s="398"/>
      <c r="AH151" s="399"/>
      <c r="AI151" s="400" t="e">
        <f t="shared" si="39"/>
        <v>#DIV/0!</v>
      </c>
      <c r="AJ151" s="397"/>
    </row>
    <row r="152" spans="1:36" ht="43.15" hidden="1" customHeight="1">
      <c r="A152" s="506"/>
      <c r="B152" s="497"/>
      <c r="C152" s="497"/>
      <c r="D152" s="497"/>
      <c r="E152" s="498"/>
      <c r="F152" s="397"/>
      <c r="G152" s="403"/>
      <c r="H152" s="404"/>
      <c r="I152" s="403"/>
      <c r="J152" s="390"/>
      <c r="K152" s="390"/>
      <c r="L152" s="416"/>
      <c r="M152" s="407"/>
      <c r="N152" s="408"/>
      <c r="O152" s="406"/>
      <c r="P152" s="406"/>
      <c r="Q152" s="406"/>
      <c r="R152" s="406"/>
      <c r="S152" s="406"/>
      <c r="T152" s="406"/>
      <c r="U152" s="409"/>
      <c r="V152" s="599"/>
      <c r="W152" s="599"/>
      <c r="X152" s="599"/>
      <c r="Y152" s="599"/>
      <c r="Z152" s="401"/>
      <c r="AA152" s="399"/>
      <c r="AB152" s="400" t="e">
        <f t="shared" si="38"/>
        <v>#DIV/0!</v>
      </c>
      <c r="AC152" s="397"/>
      <c r="AD152" s="1113"/>
      <c r="AE152" s="1113"/>
      <c r="AF152" s="1113"/>
      <c r="AG152" s="398"/>
      <c r="AH152" s="399"/>
      <c r="AI152" s="400" t="e">
        <f t="shared" si="39"/>
        <v>#DIV/0!</v>
      </c>
      <c r="AJ152" s="397"/>
    </row>
    <row r="153" spans="1:36" ht="43.15" hidden="1" customHeight="1">
      <c r="A153" s="506"/>
      <c r="B153" s="497"/>
      <c r="C153" s="497"/>
      <c r="D153" s="497"/>
      <c r="E153" s="498"/>
      <c r="F153" s="397"/>
      <c r="G153" s="403"/>
      <c r="H153" s="404"/>
      <c r="I153" s="403"/>
      <c r="J153" s="390"/>
      <c r="K153" s="390"/>
      <c r="L153" s="416"/>
      <c r="M153" s="407"/>
      <c r="N153" s="408"/>
      <c r="O153" s="406"/>
      <c r="P153" s="406"/>
      <c r="Q153" s="406"/>
      <c r="R153" s="406"/>
      <c r="S153" s="406"/>
      <c r="T153" s="406"/>
      <c r="U153" s="409"/>
      <c r="V153" s="599"/>
      <c r="W153" s="599"/>
      <c r="X153" s="599"/>
      <c r="Y153" s="599"/>
      <c r="Z153" s="401"/>
      <c r="AA153" s="399"/>
      <c r="AB153" s="400" t="e">
        <f t="shared" si="38"/>
        <v>#DIV/0!</v>
      </c>
      <c r="AC153" s="397"/>
      <c r="AD153" s="1113"/>
      <c r="AE153" s="1113"/>
      <c r="AF153" s="1113"/>
      <c r="AG153" s="398"/>
      <c r="AH153" s="399"/>
      <c r="AI153" s="400" t="e">
        <f t="shared" si="39"/>
        <v>#DIV/0!</v>
      </c>
      <c r="AJ153" s="397"/>
    </row>
    <row r="154" spans="1:36" ht="43.15" hidden="1" customHeight="1">
      <c r="A154" s="506"/>
      <c r="B154" s="497"/>
      <c r="C154" s="497"/>
      <c r="D154" s="497"/>
      <c r="E154" s="498"/>
      <c r="F154" s="397"/>
      <c r="G154" s="403"/>
      <c r="H154" s="404"/>
      <c r="I154" s="403"/>
      <c r="J154" s="390"/>
      <c r="K154" s="390"/>
      <c r="L154" s="416"/>
      <c r="M154" s="407"/>
      <c r="N154" s="408"/>
      <c r="O154" s="406"/>
      <c r="P154" s="406"/>
      <c r="Q154" s="406"/>
      <c r="R154" s="406"/>
      <c r="S154" s="406"/>
      <c r="T154" s="406"/>
      <c r="U154" s="409"/>
      <c r="V154" s="599"/>
      <c r="W154" s="599"/>
      <c r="X154" s="599"/>
      <c r="Y154" s="599"/>
      <c r="Z154" s="401"/>
      <c r="AA154" s="399"/>
      <c r="AB154" s="400" t="e">
        <f t="shared" si="38"/>
        <v>#DIV/0!</v>
      </c>
      <c r="AC154" s="397"/>
      <c r="AD154" s="1113"/>
      <c r="AE154" s="1113"/>
      <c r="AF154" s="1113"/>
      <c r="AG154" s="398"/>
      <c r="AH154" s="399"/>
      <c r="AI154" s="400" t="e">
        <f t="shared" si="39"/>
        <v>#DIV/0!</v>
      </c>
      <c r="AJ154" s="397"/>
    </row>
    <row r="155" spans="1:36" ht="43.15" hidden="1" customHeight="1">
      <c r="A155" s="506"/>
      <c r="B155" s="497"/>
      <c r="C155" s="497"/>
      <c r="D155" s="497"/>
      <c r="E155" s="498"/>
      <c r="F155" s="397"/>
      <c r="G155" s="403"/>
      <c r="H155" s="404"/>
      <c r="I155" s="403"/>
      <c r="J155" s="390"/>
      <c r="K155" s="390"/>
      <c r="L155" s="416"/>
      <c r="M155" s="407"/>
      <c r="N155" s="408"/>
      <c r="O155" s="406"/>
      <c r="P155" s="406"/>
      <c r="Q155" s="406"/>
      <c r="R155" s="406"/>
      <c r="S155" s="406"/>
      <c r="T155" s="406"/>
      <c r="U155" s="409"/>
      <c r="V155" s="599"/>
      <c r="W155" s="599"/>
      <c r="X155" s="599"/>
      <c r="Y155" s="599"/>
      <c r="Z155" s="401"/>
      <c r="AA155" s="399"/>
      <c r="AB155" s="400" t="e">
        <f t="shared" si="38"/>
        <v>#DIV/0!</v>
      </c>
      <c r="AC155" s="397"/>
      <c r="AD155" s="1113"/>
      <c r="AE155" s="1113"/>
      <c r="AF155" s="1113"/>
      <c r="AG155" s="398"/>
      <c r="AH155" s="399"/>
      <c r="AI155" s="400" t="e">
        <f t="shared" si="39"/>
        <v>#DIV/0!</v>
      </c>
      <c r="AJ155" s="397"/>
    </row>
    <row r="156" spans="1:36" ht="43.15" hidden="1" customHeight="1">
      <c r="A156" s="506"/>
      <c r="B156" s="497"/>
      <c r="C156" s="497"/>
      <c r="D156" s="497"/>
      <c r="E156" s="498"/>
      <c r="F156" s="397"/>
      <c r="G156" s="403"/>
      <c r="H156" s="404"/>
      <c r="I156" s="403"/>
      <c r="J156" s="390"/>
      <c r="K156" s="390"/>
      <c r="L156" s="416"/>
      <c r="M156" s="407"/>
      <c r="N156" s="408"/>
      <c r="O156" s="406"/>
      <c r="P156" s="406"/>
      <c r="Q156" s="406"/>
      <c r="R156" s="406"/>
      <c r="S156" s="406"/>
      <c r="T156" s="406"/>
      <c r="U156" s="409"/>
      <c r="V156" s="599"/>
      <c r="W156" s="599"/>
      <c r="X156" s="599"/>
      <c r="Y156" s="599"/>
      <c r="Z156" s="401"/>
      <c r="AA156" s="399"/>
      <c r="AB156" s="400" t="e">
        <f t="shared" si="38"/>
        <v>#DIV/0!</v>
      </c>
      <c r="AC156" s="397"/>
      <c r="AD156" s="1113"/>
      <c r="AE156" s="1113"/>
      <c r="AF156" s="1113"/>
      <c r="AG156" s="398"/>
      <c r="AH156" s="399"/>
      <c r="AI156" s="400" t="e">
        <f t="shared" si="39"/>
        <v>#DIV/0!</v>
      </c>
      <c r="AJ156" s="397"/>
    </row>
    <row r="157" spans="1:36" ht="43.15" hidden="1" customHeight="1">
      <c r="A157" s="506"/>
      <c r="B157" s="497"/>
      <c r="C157" s="497"/>
      <c r="D157" s="497"/>
      <c r="E157" s="498"/>
      <c r="F157" s="397"/>
      <c r="G157" s="403"/>
      <c r="H157" s="404"/>
      <c r="I157" s="403"/>
      <c r="J157" s="390"/>
      <c r="K157" s="390"/>
      <c r="L157" s="416"/>
      <c r="M157" s="407"/>
      <c r="N157" s="408"/>
      <c r="O157" s="406"/>
      <c r="P157" s="406"/>
      <c r="Q157" s="406"/>
      <c r="R157" s="406"/>
      <c r="S157" s="406"/>
      <c r="T157" s="406"/>
      <c r="U157" s="409"/>
      <c r="V157" s="599"/>
      <c r="W157" s="599"/>
      <c r="X157" s="599"/>
      <c r="Y157" s="599"/>
      <c r="Z157" s="401"/>
      <c r="AA157" s="399"/>
      <c r="AB157" s="400" t="e">
        <f t="shared" si="38"/>
        <v>#DIV/0!</v>
      </c>
      <c r="AC157" s="397"/>
      <c r="AD157" s="1113"/>
      <c r="AE157" s="1113"/>
      <c r="AF157" s="1113"/>
      <c r="AG157" s="398"/>
      <c r="AH157" s="399"/>
      <c r="AI157" s="400" t="e">
        <f t="shared" si="39"/>
        <v>#DIV/0!</v>
      </c>
      <c r="AJ157" s="397"/>
    </row>
    <row r="158" spans="1:36" ht="43.15" hidden="1" customHeight="1">
      <c r="A158" s="506"/>
      <c r="B158" s="497"/>
      <c r="C158" s="497"/>
      <c r="D158" s="497"/>
      <c r="E158" s="498"/>
      <c r="F158" s="397"/>
      <c r="G158" s="403"/>
      <c r="H158" s="404"/>
      <c r="I158" s="403"/>
      <c r="J158" s="390"/>
      <c r="K158" s="390"/>
      <c r="L158" s="416"/>
      <c r="M158" s="407"/>
      <c r="N158" s="408"/>
      <c r="O158" s="406"/>
      <c r="P158" s="406"/>
      <c r="Q158" s="406"/>
      <c r="R158" s="406"/>
      <c r="S158" s="406"/>
      <c r="T158" s="406"/>
      <c r="U158" s="409"/>
      <c r="V158" s="599"/>
      <c r="W158" s="599"/>
      <c r="X158" s="599"/>
      <c r="Y158" s="599"/>
      <c r="Z158" s="401"/>
      <c r="AA158" s="399"/>
      <c r="AB158" s="400" t="e">
        <f t="shared" si="38"/>
        <v>#DIV/0!</v>
      </c>
      <c r="AC158" s="397"/>
      <c r="AD158" s="1113"/>
      <c r="AE158" s="1113"/>
      <c r="AF158" s="1113"/>
      <c r="AG158" s="398"/>
      <c r="AH158" s="399"/>
      <c r="AI158" s="400" t="e">
        <f t="shared" si="39"/>
        <v>#DIV/0!</v>
      </c>
      <c r="AJ158" s="397"/>
    </row>
    <row r="159" spans="1:36" ht="43.15" hidden="1" customHeight="1">
      <c r="A159" s="506"/>
      <c r="B159" s="497"/>
      <c r="C159" s="497"/>
      <c r="D159" s="497"/>
      <c r="E159" s="498"/>
      <c r="F159" s="397"/>
      <c r="G159" s="403"/>
      <c r="H159" s="404"/>
      <c r="I159" s="403"/>
      <c r="J159" s="390"/>
      <c r="K159" s="390"/>
      <c r="L159" s="416"/>
      <c r="M159" s="407"/>
      <c r="N159" s="408"/>
      <c r="O159" s="406"/>
      <c r="P159" s="406"/>
      <c r="Q159" s="406"/>
      <c r="R159" s="406"/>
      <c r="S159" s="406"/>
      <c r="T159" s="406"/>
      <c r="U159" s="409"/>
      <c r="V159" s="599"/>
      <c r="W159" s="599"/>
      <c r="X159" s="599"/>
      <c r="Y159" s="599"/>
      <c r="Z159" s="401"/>
      <c r="AA159" s="399"/>
      <c r="AB159" s="400" t="e">
        <f t="shared" si="38"/>
        <v>#DIV/0!</v>
      </c>
      <c r="AC159" s="397"/>
      <c r="AD159" s="1113"/>
      <c r="AE159" s="1113"/>
      <c r="AF159" s="1113"/>
      <c r="AG159" s="398"/>
      <c r="AH159" s="399"/>
      <c r="AI159" s="400" t="e">
        <f t="shared" si="39"/>
        <v>#DIV/0!</v>
      </c>
      <c r="AJ159" s="397"/>
    </row>
    <row r="160" spans="1:36" ht="43.15" hidden="1" customHeight="1">
      <c r="A160" s="506"/>
      <c r="B160" s="497"/>
      <c r="C160" s="497"/>
      <c r="D160" s="497"/>
      <c r="E160" s="498"/>
      <c r="F160" s="397"/>
      <c r="G160" s="403"/>
      <c r="H160" s="404"/>
      <c r="I160" s="403"/>
      <c r="J160" s="390"/>
      <c r="K160" s="390"/>
      <c r="L160" s="416"/>
      <c r="M160" s="407"/>
      <c r="N160" s="408"/>
      <c r="O160" s="406"/>
      <c r="P160" s="406"/>
      <c r="Q160" s="406"/>
      <c r="R160" s="406"/>
      <c r="S160" s="406"/>
      <c r="T160" s="406"/>
      <c r="U160" s="409"/>
      <c r="V160" s="599"/>
      <c r="W160" s="599"/>
      <c r="X160" s="599"/>
      <c r="Y160" s="599"/>
      <c r="Z160" s="401"/>
      <c r="AA160" s="399"/>
      <c r="AB160" s="400" t="e">
        <f t="shared" si="38"/>
        <v>#DIV/0!</v>
      </c>
      <c r="AC160" s="397"/>
      <c r="AD160" s="1113"/>
      <c r="AE160" s="1113"/>
      <c r="AF160" s="1113"/>
      <c r="AG160" s="398"/>
      <c r="AH160" s="399"/>
      <c r="AI160" s="400" t="e">
        <f t="shared" si="39"/>
        <v>#DIV/0!</v>
      </c>
      <c r="AJ160" s="397"/>
    </row>
    <row r="161" spans="1:36" ht="43.15" hidden="1" customHeight="1">
      <c r="A161" s="506"/>
      <c r="B161" s="497"/>
      <c r="C161" s="497"/>
      <c r="D161" s="497"/>
      <c r="E161" s="498"/>
      <c r="F161" s="397"/>
      <c r="G161" s="403"/>
      <c r="H161" s="404"/>
      <c r="I161" s="403"/>
      <c r="J161" s="390"/>
      <c r="K161" s="390"/>
      <c r="L161" s="416"/>
      <c r="M161" s="407"/>
      <c r="N161" s="408"/>
      <c r="O161" s="406"/>
      <c r="P161" s="406"/>
      <c r="Q161" s="406"/>
      <c r="R161" s="406"/>
      <c r="S161" s="406"/>
      <c r="T161" s="406"/>
      <c r="U161" s="409"/>
      <c r="V161" s="599"/>
      <c r="W161" s="599"/>
      <c r="X161" s="599"/>
      <c r="Y161" s="599"/>
      <c r="Z161" s="401"/>
      <c r="AA161" s="399"/>
      <c r="AB161" s="400" t="e">
        <f t="shared" si="38"/>
        <v>#DIV/0!</v>
      </c>
      <c r="AC161" s="397"/>
      <c r="AD161" s="1113"/>
      <c r="AE161" s="1113"/>
      <c r="AF161" s="1113"/>
      <c r="AG161" s="398"/>
      <c r="AH161" s="399"/>
      <c r="AI161" s="400" t="e">
        <f t="shared" si="39"/>
        <v>#DIV/0!</v>
      </c>
      <c r="AJ161" s="397"/>
    </row>
    <row r="162" spans="1:36" ht="43.15" hidden="1" customHeight="1">
      <c r="A162" s="506"/>
      <c r="B162" s="497"/>
      <c r="C162" s="497"/>
      <c r="D162" s="497"/>
      <c r="E162" s="498"/>
      <c r="F162" s="397"/>
      <c r="G162" s="403"/>
      <c r="H162" s="404"/>
      <c r="I162" s="403"/>
      <c r="J162" s="390"/>
      <c r="K162" s="390"/>
      <c r="L162" s="416"/>
      <c r="M162" s="407"/>
      <c r="N162" s="408"/>
      <c r="O162" s="406"/>
      <c r="P162" s="406"/>
      <c r="Q162" s="406"/>
      <c r="R162" s="406"/>
      <c r="S162" s="406"/>
      <c r="T162" s="406"/>
      <c r="U162" s="409"/>
      <c r="V162" s="599"/>
      <c r="W162" s="599"/>
      <c r="X162" s="599"/>
      <c r="Y162" s="599"/>
      <c r="Z162" s="401"/>
      <c r="AA162" s="399"/>
      <c r="AB162" s="400" t="e">
        <f t="shared" si="38"/>
        <v>#DIV/0!</v>
      </c>
      <c r="AC162" s="397"/>
      <c r="AD162" s="1113"/>
      <c r="AE162" s="1113"/>
      <c r="AF162" s="1113"/>
      <c r="AG162" s="398"/>
      <c r="AH162" s="399"/>
      <c r="AI162" s="400" t="e">
        <f t="shared" si="39"/>
        <v>#DIV/0!</v>
      </c>
      <c r="AJ162" s="397"/>
    </row>
    <row r="163" spans="1:36" ht="43.15" hidden="1" customHeight="1">
      <c r="A163" s="506"/>
      <c r="B163" s="497"/>
      <c r="C163" s="497"/>
      <c r="D163" s="497"/>
      <c r="E163" s="498"/>
      <c r="F163" s="397"/>
      <c r="G163" s="403"/>
      <c r="H163" s="404"/>
      <c r="I163" s="403"/>
      <c r="J163" s="390"/>
      <c r="K163" s="390"/>
      <c r="L163" s="416"/>
      <c r="M163" s="407"/>
      <c r="N163" s="408"/>
      <c r="O163" s="406"/>
      <c r="P163" s="406"/>
      <c r="Q163" s="406"/>
      <c r="R163" s="406"/>
      <c r="S163" s="406"/>
      <c r="T163" s="406"/>
      <c r="U163" s="409"/>
      <c r="V163" s="599"/>
      <c r="W163" s="599"/>
      <c r="X163" s="599"/>
      <c r="Y163" s="599"/>
      <c r="Z163" s="401"/>
      <c r="AA163" s="399"/>
      <c r="AB163" s="400" t="e">
        <f t="shared" si="38"/>
        <v>#DIV/0!</v>
      </c>
      <c r="AC163" s="397"/>
      <c r="AD163" s="1113"/>
      <c r="AE163" s="1113"/>
      <c r="AF163" s="1113"/>
      <c r="AG163" s="398"/>
      <c r="AH163" s="399"/>
      <c r="AI163" s="400" t="e">
        <f t="shared" si="39"/>
        <v>#DIV/0!</v>
      </c>
      <c r="AJ163" s="397"/>
    </row>
    <row r="164" spans="1:36" ht="43.15" hidden="1" customHeight="1">
      <c r="A164" s="506"/>
      <c r="B164" s="497"/>
      <c r="C164" s="497"/>
      <c r="D164" s="497"/>
      <c r="E164" s="498"/>
      <c r="F164" s="397"/>
      <c r="G164" s="403"/>
      <c r="H164" s="404"/>
      <c r="I164" s="403"/>
      <c r="J164" s="390"/>
      <c r="K164" s="390"/>
      <c r="L164" s="416"/>
      <c r="M164" s="407"/>
      <c r="N164" s="408"/>
      <c r="O164" s="406"/>
      <c r="P164" s="406"/>
      <c r="Q164" s="406"/>
      <c r="R164" s="406"/>
      <c r="S164" s="406"/>
      <c r="T164" s="406"/>
      <c r="U164" s="409"/>
      <c r="V164" s="599"/>
      <c r="W164" s="599"/>
      <c r="X164" s="599"/>
      <c r="Y164" s="599"/>
      <c r="Z164" s="401"/>
      <c r="AA164" s="399"/>
      <c r="AB164" s="400" t="e">
        <f t="shared" si="38"/>
        <v>#DIV/0!</v>
      </c>
      <c r="AC164" s="397"/>
      <c r="AD164" s="1113"/>
      <c r="AE164" s="1113"/>
      <c r="AF164" s="1113"/>
      <c r="AG164" s="398"/>
      <c r="AH164" s="399"/>
      <c r="AI164" s="400" t="e">
        <f t="shared" si="39"/>
        <v>#DIV/0!</v>
      </c>
      <c r="AJ164" s="397"/>
    </row>
    <row r="165" spans="1:36" ht="43.15" hidden="1" customHeight="1">
      <c r="A165" s="506"/>
      <c r="B165" s="497"/>
      <c r="C165" s="497"/>
      <c r="D165" s="497"/>
      <c r="E165" s="498"/>
      <c r="F165" s="397"/>
      <c r="G165" s="403"/>
      <c r="H165" s="404"/>
      <c r="I165" s="403"/>
      <c r="J165" s="390"/>
      <c r="K165" s="390"/>
      <c r="L165" s="416"/>
      <c r="M165" s="407"/>
      <c r="N165" s="408"/>
      <c r="O165" s="406"/>
      <c r="P165" s="406"/>
      <c r="Q165" s="406"/>
      <c r="R165" s="406"/>
      <c r="S165" s="406"/>
      <c r="T165" s="406"/>
      <c r="U165" s="409"/>
      <c r="V165" s="599"/>
      <c r="W165" s="599"/>
      <c r="X165" s="599"/>
      <c r="Y165" s="599"/>
      <c r="Z165" s="401"/>
      <c r="AA165" s="399"/>
      <c r="AB165" s="400" t="e">
        <f t="shared" si="38"/>
        <v>#DIV/0!</v>
      </c>
      <c r="AC165" s="397"/>
      <c r="AD165" s="1113"/>
      <c r="AE165" s="1113"/>
      <c r="AF165" s="1113"/>
      <c r="AG165" s="398"/>
      <c r="AH165" s="399"/>
      <c r="AI165" s="400" t="e">
        <f t="shared" si="39"/>
        <v>#DIV/0!</v>
      </c>
      <c r="AJ165" s="397"/>
    </row>
    <row r="166" spans="1:36" ht="43.15" hidden="1" customHeight="1">
      <c r="A166" s="506"/>
      <c r="B166" s="497"/>
      <c r="C166" s="497"/>
      <c r="D166" s="497"/>
      <c r="E166" s="498"/>
      <c r="F166" s="397"/>
      <c r="G166" s="403"/>
      <c r="H166" s="404"/>
      <c r="I166" s="403"/>
      <c r="J166" s="390"/>
      <c r="K166" s="390"/>
      <c r="L166" s="416"/>
      <c r="M166" s="407"/>
      <c r="N166" s="408"/>
      <c r="O166" s="406"/>
      <c r="P166" s="406"/>
      <c r="Q166" s="406"/>
      <c r="R166" s="406"/>
      <c r="S166" s="406"/>
      <c r="T166" s="406"/>
      <c r="U166" s="409"/>
      <c r="V166" s="599"/>
      <c r="W166" s="599"/>
      <c r="X166" s="599"/>
      <c r="Y166" s="599"/>
      <c r="Z166" s="401"/>
      <c r="AA166" s="399"/>
      <c r="AB166" s="400" t="e">
        <f t="shared" si="38"/>
        <v>#DIV/0!</v>
      </c>
      <c r="AC166" s="397"/>
      <c r="AD166" s="1113"/>
      <c r="AE166" s="1113"/>
      <c r="AF166" s="1113"/>
      <c r="AG166" s="398"/>
      <c r="AH166" s="399"/>
      <c r="AI166" s="400" t="e">
        <f t="shared" si="39"/>
        <v>#DIV/0!</v>
      </c>
      <c r="AJ166" s="397"/>
    </row>
    <row r="167" spans="1:36" ht="19.899999999999999" hidden="1" customHeight="1">
      <c r="A167" s="506"/>
      <c r="B167" s="497"/>
      <c r="C167" s="497"/>
      <c r="D167" s="497"/>
      <c r="E167" s="498"/>
      <c r="F167" s="397"/>
      <c r="G167" s="403"/>
      <c r="H167" s="404"/>
      <c r="I167" s="403"/>
      <c r="J167" s="390"/>
      <c r="K167" s="390"/>
      <c r="L167" s="416"/>
      <c r="M167" s="407"/>
      <c r="N167" s="408"/>
      <c r="O167" s="406"/>
      <c r="P167" s="406"/>
      <c r="Q167" s="406"/>
      <c r="R167" s="406"/>
      <c r="S167" s="406"/>
      <c r="T167" s="406"/>
      <c r="U167" s="409"/>
      <c r="V167" s="599"/>
      <c r="W167" s="599"/>
      <c r="X167" s="599"/>
      <c r="Y167" s="599"/>
      <c r="Z167" s="401"/>
      <c r="AA167" s="399"/>
      <c r="AB167" s="400" t="e">
        <f t="shared" si="38"/>
        <v>#DIV/0!</v>
      </c>
      <c r="AC167" s="397"/>
      <c r="AD167" s="1113"/>
      <c r="AE167" s="1113"/>
      <c r="AF167" s="1113"/>
      <c r="AG167" s="398"/>
      <c r="AH167" s="399"/>
      <c r="AI167" s="400" t="e">
        <f t="shared" si="39"/>
        <v>#DIV/0!</v>
      </c>
      <c r="AJ167" s="397"/>
    </row>
    <row r="168" spans="1:36" ht="19.899999999999999" hidden="1" customHeight="1">
      <c r="A168" s="506"/>
      <c r="B168" s="497"/>
      <c r="C168" s="497"/>
      <c r="D168" s="497"/>
      <c r="E168" s="498"/>
      <c r="F168" s="397"/>
      <c r="G168" s="403"/>
      <c r="H168" s="404"/>
      <c r="I168" s="403"/>
      <c r="J168" s="390"/>
      <c r="K168" s="390"/>
      <c r="L168" s="416"/>
      <c r="M168" s="407"/>
      <c r="N168" s="408"/>
      <c r="O168" s="406"/>
      <c r="P168" s="406"/>
      <c r="Q168" s="406"/>
      <c r="R168" s="406"/>
      <c r="S168" s="406"/>
      <c r="T168" s="406"/>
      <c r="U168" s="409"/>
      <c r="V168" s="599"/>
      <c r="W168" s="599"/>
      <c r="X168" s="599"/>
      <c r="Y168" s="599"/>
      <c r="Z168" s="401"/>
      <c r="AA168" s="399"/>
      <c r="AB168" s="400" t="e">
        <f t="shared" si="38"/>
        <v>#DIV/0!</v>
      </c>
      <c r="AC168" s="397"/>
      <c r="AD168" s="1113"/>
      <c r="AE168" s="1113"/>
      <c r="AF168" s="1113"/>
      <c r="AG168" s="398"/>
      <c r="AH168" s="399"/>
      <c r="AI168" s="400" t="e">
        <f t="shared" si="39"/>
        <v>#DIV/0!</v>
      </c>
      <c r="AJ168" s="397"/>
    </row>
    <row r="169" spans="1:36" ht="19.899999999999999" hidden="1" customHeight="1">
      <c r="A169" s="506"/>
      <c r="B169" s="497"/>
      <c r="C169" s="497"/>
      <c r="D169" s="497"/>
      <c r="E169" s="498"/>
      <c r="F169" s="397"/>
      <c r="G169" s="403"/>
      <c r="H169" s="404"/>
      <c r="I169" s="403"/>
      <c r="J169" s="390"/>
      <c r="K169" s="390"/>
      <c r="L169" s="416"/>
      <c r="M169" s="407"/>
      <c r="N169" s="408"/>
      <c r="O169" s="406"/>
      <c r="P169" s="406"/>
      <c r="Q169" s="406"/>
      <c r="R169" s="406"/>
      <c r="S169" s="406"/>
      <c r="T169" s="406"/>
      <c r="U169" s="409"/>
      <c r="V169" s="599"/>
      <c r="W169" s="599"/>
      <c r="X169" s="599"/>
      <c r="Y169" s="599"/>
      <c r="Z169" s="401"/>
      <c r="AA169" s="399"/>
      <c r="AB169" s="400" t="e">
        <f t="shared" si="38"/>
        <v>#DIV/0!</v>
      </c>
      <c r="AC169" s="397"/>
      <c r="AD169" s="1113"/>
      <c r="AE169" s="1113"/>
      <c r="AF169" s="1113"/>
      <c r="AG169" s="398"/>
      <c r="AH169" s="399"/>
      <c r="AI169" s="400" t="e">
        <f t="shared" si="39"/>
        <v>#DIV/0!</v>
      </c>
      <c r="AJ169" s="397"/>
    </row>
    <row r="170" spans="1:36" ht="19.899999999999999" hidden="1" customHeight="1">
      <c r="A170" s="506"/>
      <c r="B170" s="497"/>
      <c r="C170" s="497"/>
      <c r="D170" s="497"/>
      <c r="E170" s="498"/>
      <c r="F170" s="397"/>
      <c r="G170" s="403"/>
      <c r="H170" s="404"/>
      <c r="I170" s="403"/>
      <c r="J170" s="390"/>
      <c r="K170" s="390"/>
      <c r="L170" s="416"/>
      <c r="M170" s="407"/>
      <c r="N170" s="408"/>
      <c r="O170" s="406"/>
      <c r="P170" s="406"/>
      <c r="Q170" s="406"/>
      <c r="R170" s="406"/>
      <c r="S170" s="406"/>
      <c r="T170" s="406"/>
      <c r="U170" s="409"/>
      <c r="V170" s="599"/>
      <c r="W170" s="599"/>
      <c r="X170" s="599"/>
      <c r="Y170" s="599"/>
      <c r="Z170" s="401"/>
      <c r="AA170" s="399"/>
      <c r="AB170" s="400" t="e">
        <f t="shared" si="38"/>
        <v>#DIV/0!</v>
      </c>
      <c r="AC170" s="397"/>
      <c r="AD170" s="1113"/>
      <c r="AE170" s="1113"/>
      <c r="AF170" s="1113"/>
      <c r="AG170" s="398"/>
      <c r="AH170" s="399"/>
      <c r="AI170" s="400" t="e">
        <f t="shared" si="39"/>
        <v>#DIV/0!</v>
      </c>
      <c r="AJ170" s="397"/>
    </row>
    <row r="171" spans="1:36" ht="19.899999999999999" hidden="1" customHeight="1">
      <c r="A171" s="506"/>
      <c r="B171" s="497"/>
      <c r="C171" s="497"/>
      <c r="D171" s="497"/>
      <c r="E171" s="498"/>
      <c r="F171" s="397"/>
      <c r="G171" s="403"/>
      <c r="H171" s="404"/>
      <c r="I171" s="403"/>
      <c r="J171" s="390"/>
      <c r="K171" s="390"/>
      <c r="L171" s="416"/>
      <c r="M171" s="407"/>
      <c r="N171" s="408"/>
      <c r="O171" s="406"/>
      <c r="P171" s="406"/>
      <c r="Q171" s="406"/>
      <c r="R171" s="406"/>
      <c r="S171" s="406"/>
      <c r="T171" s="406"/>
      <c r="U171" s="409"/>
      <c r="V171" s="599"/>
      <c r="W171" s="599"/>
      <c r="X171" s="599"/>
      <c r="Y171" s="599"/>
      <c r="Z171" s="401"/>
      <c r="AA171" s="399"/>
      <c r="AB171" s="400" t="e">
        <f t="shared" si="38"/>
        <v>#DIV/0!</v>
      </c>
      <c r="AC171" s="397"/>
      <c r="AD171" s="1113"/>
      <c r="AE171" s="1113"/>
      <c r="AF171" s="1113"/>
      <c r="AG171" s="398"/>
      <c r="AH171" s="399"/>
      <c r="AI171" s="400" t="e">
        <f t="shared" si="39"/>
        <v>#DIV/0!</v>
      </c>
      <c r="AJ171" s="397"/>
    </row>
    <row r="172" spans="1:36" ht="19.899999999999999" hidden="1" customHeight="1">
      <c r="A172" s="506"/>
      <c r="B172" s="497"/>
      <c r="C172" s="497"/>
      <c r="D172" s="497"/>
      <c r="E172" s="498"/>
      <c r="F172" s="397"/>
      <c r="G172" s="403"/>
      <c r="H172" s="404"/>
      <c r="I172" s="403"/>
      <c r="J172" s="390"/>
      <c r="K172" s="390"/>
      <c r="L172" s="416"/>
      <c r="M172" s="407"/>
      <c r="N172" s="408"/>
      <c r="O172" s="406"/>
      <c r="P172" s="406"/>
      <c r="Q172" s="406"/>
      <c r="R172" s="406"/>
      <c r="S172" s="406"/>
      <c r="T172" s="406"/>
      <c r="U172" s="409"/>
      <c r="V172" s="599"/>
      <c r="W172" s="599"/>
      <c r="X172" s="599"/>
      <c r="Y172" s="599"/>
      <c r="Z172" s="401"/>
      <c r="AA172" s="399"/>
      <c r="AB172" s="400" t="e">
        <f t="shared" si="38"/>
        <v>#DIV/0!</v>
      </c>
      <c r="AC172" s="397"/>
      <c r="AD172" s="1113"/>
      <c r="AE172" s="1113"/>
      <c r="AF172" s="1113"/>
      <c r="AG172" s="398"/>
      <c r="AH172" s="399"/>
      <c r="AI172" s="400" t="e">
        <f t="shared" si="39"/>
        <v>#DIV/0!</v>
      </c>
      <c r="AJ172" s="397"/>
    </row>
    <row r="173" spans="1:36" ht="19.899999999999999" hidden="1" customHeight="1">
      <c r="A173" s="506"/>
      <c r="B173" s="497"/>
      <c r="C173" s="497"/>
      <c r="D173" s="497"/>
      <c r="E173" s="498"/>
      <c r="F173" s="397"/>
      <c r="G173" s="403"/>
      <c r="H173" s="404"/>
      <c r="I173" s="403"/>
      <c r="J173" s="390"/>
      <c r="K173" s="390"/>
      <c r="L173" s="416"/>
      <c r="M173" s="407"/>
      <c r="N173" s="408"/>
      <c r="O173" s="406"/>
      <c r="P173" s="406"/>
      <c r="Q173" s="406"/>
      <c r="R173" s="406"/>
      <c r="S173" s="406"/>
      <c r="T173" s="406"/>
      <c r="U173" s="409"/>
      <c r="V173" s="599"/>
      <c r="W173" s="599"/>
      <c r="X173" s="599"/>
      <c r="Y173" s="599"/>
      <c r="Z173" s="401"/>
      <c r="AA173" s="399"/>
      <c r="AB173" s="400" t="e">
        <f t="shared" si="38"/>
        <v>#DIV/0!</v>
      </c>
      <c r="AC173" s="397"/>
      <c r="AD173" s="1113"/>
      <c r="AE173" s="1113"/>
      <c r="AF173" s="1113"/>
      <c r="AG173" s="398"/>
      <c r="AH173" s="399"/>
      <c r="AI173" s="400" t="e">
        <f t="shared" si="39"/>
        <v>#DIV/0!</v>
      </c>
      <c r="AJ173" s="397"/>
    </row>
    <row r="174" spans="1:36" ht="19.899999999999999" hidden="1" customHeight="1">
      <c r="A174" s="506"/>
      <c r="B174" s="497"/>
      <c r="C174" s="497"/>
      <c r="D174" s="497"/>
      <c r="E174" s="498"/>
      <c r="F174" s="397"/>
      <c r="G174" s="403"/>
      <c r="H174" s="404"/>
      <c r="I174" s="403"/>
      <c r="J174" s="390"/>
      <c r="K174" s="390"/>
      <c r="L174" s="416"/>
      <c r="M174" s="407"/>
      <c r="N174" s="408"/>
      <c r="O174" s="406"/>
      <c r="P174" s="406"/>
      <c r="Q174" s="406"/>
      <c r="R174" s="406"/>
      <c r="S174" s="406"/>
      <c r="T174" s="406"/>
      <c r="U174" s="409"/>
      <c r="V174" s="599"/>
      <c r="W174" s="599"/>
      <c r="X174" s="599"/>
      <c r="Y174" s="599"/>
      <c r="Z174" s="401"/>
      <c r="AA174" s="399"/>
      <c r="AB174" s="400" t="e">
        <f t="shared" si="38"/>
        <v>#DIV/0!</v>
      </c>
      <c r="AC174" s="397"/>
      <c r="AD174" s="1113"/>
      <c r="AE174" s="1113"/>
      <c r="AF174" s="1113"/>
      <c r="AG174" s="398"/>
      <c r="AH174" s="399"/>
      <c r="AI174" s="400" t="e">
        <f t="shared" si="39"/>
        <v>#DIV/0!</v>
      </c>
      <c r="AJ174" s="397"/>
    </row>
    <row r="175" spans="1:36" ht="19.899999999999999" hidden="1" customHeight="1">
      <c r="A175" s="506"/>
      <c r="B175" s="497"/>
      <c r="C175" s="497"/>
      <c r="D175" s="497"/>
      <c r="E175" s="498"/>
      <c r="F175" s="397"/>
      <c r="G175" s="403"/>
      <c r="H175" s="404"/>
      <c r="I175" s="403"/>
      <c r="J175" s="390"/>
      <c r="K175" s="390"/>
      <c r="L175" s="416"/>
      <c r="M175" s="407"/>
      <c r="N175" s="408"/>
      <c r="O175" s="406"/>
      <c r="P175" s="406"/>
      <c r="Q175" s="406"/>
      <c r="R175" s="406"/>
      <c r="S175" s="406"/>
      <c r="T175" s="406"/>
      <c r="U175" s="409"/>
      <c r="V175" s="599"/>
      <c r="W175" s="599"/>
      <c r="X175" s="599"/>
      <c r="Y175" s="599"/>
      <c r="Z175" s="401"/>
      <c r="AA175" s="399"/>
      <c r="AB175" s="400" t="e">
        <f t="shared" si="38"/>
        <v>#DIV/0!</v>
      </c>
      <c r="AC175" s="397"/>
      <c r="AD175" s="1113"/>
      <c r="AE175" s="1113"/>
      <c r="AF175" s="1113"/>
      <c r="AG175" s="398"/>
      <c r="AH175" s="399"/>
      <c r="AI175" s="400" t="e">
        <f t="shared" si="39"/>
        <v>#DIV/0!</v>
      </c>
      <c r="AJ175" s="397"/>
    </row>
    <row r="176" spans="1:36" ht="19.899999999999999" hidden="1" customHeight="1">
      <c r="A176" s="506"/>
      <c r="B176" s="497"/>
      <c r="C176" s="497"/>
      <c r="D176" s="497"/>
      <c r="E176" s="498"/>
      <c r="F176" s="397"/>
      <c r="G176" s="403"/>
      <c r="H176" s="404"/>
      <c r="I176" s="403"/>
      <c r="J176" s="390"/>
      <c r="K176" s="390"/>
      <c r="L176" s="416"/>
      <c r="M176" s="407"/>
      <c r="N176" s="408"/>
      <c r="O176" s="406"/>
      <c r="P176" s="406"/>
      <c r="Q176" s="406"/>
      <c r="R176" s="406"/>
      <c r="S176" s="406"/>
      <c r="T176" s="406"/>
      <c r="U176" s="409"/>
      <c r="V176" s="599"/>
      <c r="W176" s="599"/>
      <c r="X176" s="599"/>
      <c r="Y176" s="599"/>
      <c r="Z176" s="401"/>
      <c r="AA176" s="399"/>
      <c r="AB176" s="400" t="e">
        <f t="shared" si="38"/>
        <v>#DIV/0!</v>
      </c>
      <c r="AC176" s="397"/>
      <c r="AD176" s="1113"/>
      <c r="AE176" s="1113"/>
      <c r="AF176" s="1113"/>
      <c r="AG176" s="398"/>
      <c r="AH176" s="399"/>
      <c r="AI176" s="400" t="e">
        <f t="shared" si="39"/>
        <v>#DIV/0!</v>
      </c>
      <c r="AJ176" s="397"/>
    </row>
    <row r="177" spans="1:36" ht="19.899999999999999" hidden="1" customHeight="1">
      <c r="A177" s="506"/>
      <c r="B177" s="497"/>
      <c r="C177" s="497"/>
      <c r="D177" s="497"/>
      <c r="E177" s="498"/>
      <c r="F177" s="397"/>
      <c r="G177" s="403"/>
      <c r="H177" s="404"/>
      <c r="I177" s="403"/>
      <c r="J177" s="390"/>
      <c r="K177" s="390"/>
      <c r="L177" s="416"/>
      <c r="M177" s="407"/>
      <c r="N177" s="408"/>
      <c r="O177" s="406"/>
      <c r="P177" s="406"/>
      <c r="Q177" s="406"/>
      <c r="R177" s="406"/>
      <c r="S177" s="406"/>
      <c r="T177" s="406"/>
      <c r="U177" s="409"/>
      <c r="V177" s="599"/>
      <c r="W177" s="599"/>
      <c r="X177" s="599"/>
      <c r="Y177" s="599"/>
      <c r="Z177" s="401"/>
      <c r="AA177" s="399"/>
      <c r="AB177" s="400" t="e">
        <f t="shared" si="38"/>
        <v>#DIV/0!</v>
      </c>
      <c r="AC177" s="397"/>
      <c r="AD177" s="1113"/>
      <c r="AE177" s="1113"/>
      <c r="AF177" s="1113"/>
      <c r="AG177" s="398"/>
      <c r="AH177" s="399"/>
      <c r="AI177" s="400" t="e">
        <f t="shared" si="39"/>
        <v>#DIV/0!</v>
      </c>
      <c r="AJ177" s="397"/>
    </row>
    <row r="178" spans="1:36" ht="19.899999999999999" hidden="1" customHeight="1">
      <c r="A178" s="506"/>
      <c r="B178" s="497"/>
      <c r="C178" s="497"/>
      <c r="D178" s="497"/>
      <c r="E178" s="498"/>
      <c r="F178" s="397"/>
      <c r="G178" s="403"/>
      <c r="H178" s="404"/>
      <c r="I178" s="403"/>
      <c r="J178" s="390"/>
      <c r="K178" s="390"/>
      <c r="L178" s="416"/>
      <c r="M178" s="407"/>
      <c r="N178" s="408"/>
      <c r="O178" s="406"/>
      <c r="P178" s="406"/>
      <c r="Q178" s="406"/>
      <c r="R178" s="406"/>
      <c r="S178" s="406"/>
      <c r="T178" s="406"/>
      <c r="U178" s="409"/>
      <c r="V178" s="599"/>
      <c r="W178" s="599"/>
      <c r="X178" s="599"/>
      <c r="Y178" s="599"/>
      <c r="Z178" s="401"/>
      <c r="AA178" s="399"/>
      <c r="AB178" s="400" t="e">
        <f t="shared" si="38"/>
        <v>#DIV/0!</v>
      </c>
      <c r="AC178" s="397"/>
      <c r="AD178" s="1113"/>
      <c r="AE178" s="1113"/>
      <c r="AF178" s="1113"/>
      <c r="AG178" s="398"/>
      <c r="AH178" s="399"/>
      <c r="AI178" s="400" t="e">
        <f t="shared" si="39"/>
        <v>#DIV/0!</v>
      </c>
      <c r="AJ178" s="397"/>
    </row>
    <row r="179" spans="1:36" ht="19.899999999999999" hidden="1" customHeight="1">
      <c r="A179" s="506"/>
      <c r="B179" s="497"/>
      <c r="C179" s="497"/>
      <c r="D179" s="497"/>
      <c r="E179" s="498"/>
      <c r="F179" s="397"/>
      <c r="G179" s="403"/>
      <c r="H179" s="404"/>
      <c r="I179" s="403"/>
      <c r="J179" s="390"/>
      <c r="K179" s="390"/>
      <c r="L179" s="416"/>
      <c r="M179" s="407"/>
      <c r="N179" s="408"/>
      <c r="O179" s="406"/>
      <c r="P179" s="406"/>
      <c r="Q179" s="406"/>
      <c r="R179" s="406"/>
      <c r="S179" s="406"/>
      <c r="T179" s="406"/>
      <c r="U179" s="409"/>
      <c r="V179" s="599"/>
      <c r="W179" s="599"/>
      <c r="X179" s="599"/>
      <c r="Y179" s="599"/>
      <c r="Z179" s="401"/>
      <c r="AA179" s="399"/>
      <c r="AB179" s="400" t="e">
        <f t="shared" si="38"/>
        <v>#DIV/0!</v>
      </c>
      <c r="AC179" s="397"/>
      <c r="AD179" s="1113"/>
      <c r="AE179" s="1113"/>
      <c r="AF179" s="1113"/>
      <c r="AG179" s="398"/>
      <c r="AH179" s="399"/>
      <c r="AI179" s="400" t="e">
        <f t="shared" si="39"/>
        <v>#DIV/0!</v>
      </c>
      <c r="AJ179" s="397"/>
    </row>
    <row r="180" spans="1:36" ht="19.899999999999999" hidden="1" customHeight="1">
      <c r="A180" s="506"/>
      <c r="B180" s="497"/>
      <c r="C180" s="497"/>
      <c r="D180" s="497"/>
      <c r="E180" s="498"/>
      <c r="F180" s="397"/>
      <c r="G180" s="403"/>
      <c r="H180" s="404"/>
      <c r="I180" s="403"/>
      <c r="J180" s="390"/>
      <c r="K180" s="390"/>
      <c r="L180" s="416"/>
      <c r="M180" s="407"/>
      <c r="N180" s="408"/>
      <c r="O180" s="406"/>
      <c r="P180" s="406"/>
      <c r="Q180" s="406"/>
      <c r="R180" s="406"/>
      <c r="S180" s="406"/>
      <c r="T180" s="406"/>
      <c r="U180" s="409"/>
      <c r="V180" s="599"/>
      <c r="W180" s="599"/>
      <c r="X180" s="599"/>
      <c r="Y180" s="599"/>
      <c r="Z180" s="401"/>
      <c r="AA180" s="399"/>
      <c r="AB180" s="400" t="e">
        <f t="shared" si="38"/>
        <v>#DIV/0!</v>
      </c>
      <c r="AC180" s="397"/>
      <c r="AD180" s="1113"/>
      <c r="AE180" s="1113"/>
      <c r="AF180" s="1113"/>
      <c r="AG180" s="398"/>
      <c r="AH180" s="399"/>
      <c r="AI180" s="400" t="e">
        <f t="shared" si="39"/>
        <v>#DIV/0!</v>
      </c>
      <c r="AJ180" s="397"/>
    </row>
    <row r="181" spans="1:36" ht="19.899999999999999" hidden="1" customHeight="1">
      <c r="A181" s="506"/>
      <c r="B181" s="497"/>
      <c r="C181" s="497"/>
      <c r="D181" s="497"/>
      <c r="E181" s="498"/>
      <c r="F181" s="397"/>
      <c r="G181" s="403"/>
      <c r="H181" s="404"/>
      <c r="I181" s="403"/>
      <c r="J181" s="390"/>
      <c r="K181" s="390"/>
      <c r="L181" s="416"/>
      <c r="M181" s="407"/>
      <c r="N181" s="408"/>
      <c r="O181" s="406"/>
      <c r="P181" s="406"/>
      <c r="Q181" s="406"/>
      <c r="R181" s="406"/>
      <c r="S181" s="406"/>
      <c r="T181" s="406"/>
      <c r="U181" s="409"/>
      <c r="V181" s="599"/>
      <c r="W181" s="599"/>
      <c r="X181" s="599"/>
      <c r="Y181" s="599"/>
      <c r="Z181" s="401"/>
      <c r="AA181" s="399"/>
      <c r="AB181" s="400" t="e">
        <f t="shared" si="38"/>
        <v>#DIV/0!</v>
      </c>
      <c r="AC181" s="397"/>
      <c r="AD181" s="1113"/>
      <c r="AE181" s="1113"/>
      <c r="AF181" s="1113"/>
      <c r="AG181" s="398"/>
      <c r="AH181" s="399"/>
      <c r="AI181" s="400" t="e">
        <f t="shared" si="39"/>
        <v>#DIV/0!</v>
      </c>
      <c r="AJ181" s="397"/>
    </row>
    <row r="182" spans="1:36" ht="19.899999999999999" hidden="1" customHeight="1">
      <c r="A182" s="506"/>
      <c r="B182" s="497"/>
      <c r="C182" s="497"/>
      <c r="D182" s="497"/>
      <c r="E182" s="498"/>
      <c r="F182" s="397"/>
      <c r="G182" s="403"/>
      <c r="H182" s="404"/>
      <c r="I182" s="403"/>
      <c r="J182" s="390"/>
      <c r="K182" s="390"/>
      <c r="L182" s="416"/>
      <c r="M182" s="407"/>
      <c r="N182" s="408"/>
      <c r="O182" s="406"/>
      <c r="P182" s="406"/>
      <c r="Q182" s="406"/>
      <c r="R182" s="406"/>
      <c r="S182" s="406"/>
      <c r="T182" s="406"/>
      <c r="U182" s="409"/>
      <c r="V182" s="599"/>
      <c r="W182" s="599"/>
      <c r="X182" s="599"/>
      <c r="Y182" s="599"/>
      <c r="Z182" s="401"/>
      <c r="AA182" s="399"/>
      <c r="AB182" s="400" t="e">
        <f t="shared" si="38"/>
        <v>#DIV/0!</v>
      </c>
      <c r="AC182" s="397"/>
      <c r="AD182" s="1113"/>
      <c r="AE182" s="1113"/>
      <c r="AF182" s="1113"/>
      <c r="AG182" s="398"/>
      <c r="AH182" s="399"/>
      <c r="AI182" s="400" t="e">
        <f t="shared" si="39"/>
        <v>#DIV/0!</v>
      </c>
      <c r="AJ182" s="397"/>
    </row>
    <row r="183" spans="1:36" ht="19.899999999999999" hidden="1" customHeight="1">
      <c r="A183" s="506"/>
      <c r="B183" s="497"/>
      <c r="C183" s="497"/>
      <c r="D183" s="497"/>
      <c r="E183" s="498"/>
      <c r="F183" s="397"/>
      <c r="G183" s="403"/>
      <c r="H183" s="404"/>
      <c r="I183" s="403"/>
      <c r="J183" s="390"/>
      <c r="K183" s="390"/>
      <c r="L183" s="416"/>
      <c r="M183" s="407"/>
      <c r="N183" s="408"/>
      <c r="O183" s="406"/>
      <c r="P183" s="406"/>
      <c r="Q183" s="406"/>
      <c r="R183" s="406"/>
      <c r="S183" s="406"/>
      <c r="T183" s="406"/>
      <c r="U183" s="409"/>
      <c r="V183" s="599"/>
      <c r="W183" s="599"/>
      <c r="X183" s="599"/>
      <c r="Y183" s="599"/>
      <c r="Z183" s="401"/>
      <c r="AA183" s="399"/>
      <c r="AB183" s="400" t="e">
        <f t="shared" si="38"/>
        <v>#DIV/0!</v>
      </c>
      <c r="AC183" s="397"/>
      <c r="AD183" s="1113"/>
      <c r="AE183" s="1113"/>
      <c r="AF183" s="1113"/>
      <c r="AG183" s="398"/>
      <c r="AH183" s="399"/>
      <c r="AI183" s="400" t="e">
        <f t="shared" si="39"/>
        <v>#DIV/0!</v>
      </c>
      <c r="AJ183" s="397"/>
    </row>
    <row r="184" spans="1:36" ht="19.899999999999999" hidden="1" customHeight="1">
      <c r="A184" s="506"/>
      <c r="B184" s="497"/>
      <c r="C184" s="497"/>
      <c r="D184" s="497"/>
      <c r="E184" s="498"/>
      <c r="F184" s="397"/>
      <c r="G184" s="403"/>
      <c r="H184" s="404"/>
      <c r="I184" s="403"/>
      <c r="J184" s="390"/>
      <c r="K184" s="390"/>
      <c r="L184" s="416"/>
      <c r="M184" s="407"/>
      <c r="N184" s="408"/>
      <c r="O184" s="406"/>
      <c r="P184" s="406"/>
      <c r="Q184" s="406"/>
      <c r="R184" s="406"/>
      <c r="S184" s="406"/>
      <c r="T184" s="406"/>
      <c r="U184" s="409"/>
      <c r="V184" s="599"/>
      <c r="W184" s="599"/>
      <c r="X184" s="599"/>
      <c r="Y184" s="599"/>
      <c r="Z184" s="401"/>
      <c r="AA184" s="399"/>
      <c r="AB184" s="400" t="e">
        <f t="shared" si="38"/>
        <v>#DIV/0!</v>
      </c>
      <c r="AC184" s="397"/>
      <c r="AD184" s="1113"/>
      <c r="AE184" s="1113"/>
      <c r="AF184" s="1113"/>
      <c r="AG184" s="398"/>
      <c r="AH184" s="399"/>
      <c r="AI184" s="400" t="e">
        <f t="shared" si="39"/>
        <v>#DIV/0!</v>
      </c>
      <c r="AJ184" s="397"/>
    </row>
    <row r="185" spans="1:36" ht="19.899999999999999" hidden="1" customHeight="1">
      <c r="A185" s="506"/>
      <c r="B185" s="497"/>
      <c r="C185" s="497"/>
      <c r="D185" s="497"/>
      <c r="E185" s="498"/>
      <c r="F185" s="397"/>
      <c r="G185" s="403"/>
      <c r="H185" s="404"/>
      <c r="I185" s="403"/>
      <c r="J185" s="390"/>
      <c r="K185" s="390"/>
      <c r="L185" s="416"/>
      <c r="M185" s="407"/>
      <c r="N185" s="408"/>
      <c r="O185" s="406"/>
      <c r="P185" s="406"/>
      <c r="Q185" s="406"/>
      <c r="R185" s="406"/>
      <c r="S185" s="406"/>
      <c r="T185" s="406"/>
      <c r="U185" s="409"/>
      <c r="V185" s="599"/>
      <c r="W185" s="599"/>
      <c r="X185" s="599"/>
      <c r="Y185" s="599"/>
      <c r="Z185" s="401"/>
      <c r="AA185" s="399"/>
      <c r="AB185" s="400" t="e">
        <f t="shared" si="38"/>
        <v>#DIV/0!</v>
      </c>
      <c r="AC185" s="397"/>
      <c r="AD185" s="1113"/>
      <c r="AE185" s="1113"/>
      <c r="AF185" s="1113"/>
      <c r="AG185" s="398"/>
      <c r="AH185" s="399"/>
      <c r="AI185" s="400" t="e">
        <f t="shared" si="39"/>
        <v>#DIV/0!</v>
      </c>
      <c r="AJ185" s="397"/>
    </row>
    <row r="186" spans="1:36" ht="19.899999999999999" hidden="1" customHeight="1">
      <c r="A186" s="506"/>
      <c r="B186" s="497"/>
      <c r="C186" s="497"/>
      <c r="D186" s="497"/>
      <c r="E186" s="498"/>
      <c r="F186" s="397"/>
      <c r="G186" s="403"/>
      <c r="H186" s="404"/>
      <c r="I186" s="403"/>
      <c r="J186" s="390"/>
      <c r="K186" s="390"/>
      <c r="L186" s="416"/>
      <c r="M186" s="407"/>
      <c r="N186" s="408"/>
      <c r="O186" s="406"/>
      <c r="P186" s="406"/>
      <c r="Q186" s="406"/>
      <c r="R186" s="406"/>
      <c r="S186" s="406"/>
      <c r="T186" s="406"/>
      <c r="U186" s="409"/>
      <c r="V186" s="599"/>
      <c r="W186" s="599"/>
      <c r="X186" s="599"/>
      <c r="Y186" s="599"/>
      <c r="Z186" s="401"/>
      <c r="AA186" s="399"/>
      <c r="AB186" s="400" t="e">
        <f t="shared" si="38"/>
        <v>#DIV/0!</v>
      </c>
      <c r="AC186" s="397"/>
      <c r="AD186" s="1113"/>
      <c r="AE186" s="1113"/>
      <c r="AF186" s="1113"/>
      <c r="AG186" s="398"/>
      <c r="AH186" s="399"/>
      <c r="AI186" s="400" t="e">
        <f t="shared" si="39"/>
        <v>#DIV/0!</v>
      </c>
      <c r="AJ186" s="397"/>
    </row>
    <row r="187" spans="1:36" ht="19.899999999999999" hidden="1" customHeight="1">
      <c r="A187" s="506"/>
      <c r="B187" s="497"/>
      <c r="C187" s="497"/>
      <c r="D187" s="497"/>
      <c r="E187" s="498"/>
      <c r="F187" s="397"/>
      <c r="G187" s="403"/>
      <c r="H187" s="404"/>
      <c r="I187" s="403"/>
      <c r="J187" s="390"/>
      <c r="K187" s="390"/>
      <c r="L187" s="416"/>
      <c r="M187" s="407"/>
      <c r="N187" s="408"/>
      <c r="O187" s="406"/>
      <c r="P187" s="406"/>
      <c r="Q187" s="406"/>
      <c r="R187" s="406"/>
      <c r="S187" s="406"/>
      <c r="T187" s="406"/>
      <c r="U187" s="409"/>
      <c r="V187" s="599"/>
      <c r="W187" s="599"/>
      <c r="X187" s="599"/>
      <c r="Y187" s="599"/>
      <c r="Z187" s="401"/>
      <c r="AA187" s="399"/>
      <c r="AB187" s="400" t="e">
        <f t="shared" si="38"/>
        <v>#DIV/0!</v>
      </c>
      <c r="AC187" s="397"/>
      <c r="AD187" s="1113"/>
      <c r="AE187" s="1113"/>
      <c r="AF187" s="1113"/>
      <c r="AG187" s="398"/>
      <c r="AH187" s="399"/>
      <c r="AI187" s="400" t="e">
        <f t="shared" si="39"/>
        <v>#DIV/0!</v>
      </c>
      <c r="AJ187" s="397"/>
    </row>
    <row r="188" spans="1:36" ht="19.899999999999999" hidden="1" customHeight="1">
      <c r="A188" s="506"/>
      <c r="B188" s="497"/>
      <c r="C188" s="497"/>
      <c r="D188" s="497"/>
      <c r="E188" s="498"/>
      <c r="F188" s="397"/>
      <c r="G188" s="403"/>
      <c r="H188" s="404"/>
      <c r="I188" s="403"/>
      <c r="J188" s="390"/>
      <c r="K188" s="390"/>
      <c r="L188" s="416"/>
      <c r="M188" s="407"/>
      <c r="N188" s="408"/>
      <c r="O188" s="406"/>
      <c r="P188" s="406"/>
      <c r="Q188" s="406"/>
      <c r="R188" s="406"/>
      <c r="S188" s="406"/>
      <c r="T188" s="406"/>
      <c r="U188" s="409"/>
      <c r="V188" s="599"/>
      <c r="W188" s="599"/>
      <c r="X188" s="599"/>
      <c r="Y188" s="599"/>
      <c r="Z188" s="401"/>
      <c r="AA188" s="399"/>
      <c r="AB188" s="400" t="e">
        <f t="shared" si="38"/>
        <v>#DIV/0!</v>
      </c>
      <c r="AC188" s="397"/>
      <c r="AD188" s="1113"/>
      <c r="AE188" s="1113"/>
      <c r="AF188" s="1113"/>
      <c r="AG188" s="398"/>
      <c r="AH188" s="399"/>
      <c r="AI188" s="400" t="e">
        <f t="shared" si="39"/>
        <v>#DIV/0!</v>
      </c>
      <c r="AJ188" s="397"/>
    </row>
    <row r="189" spans="1:36" ht="19.899999999999999" hidden="1" customHeight="1">
      <c r="A189" s="506"/>
      <c r="B189" s="497"/>
      <c r="C189" s="497"/>
      <c r="D189" s="497"/>
      <c r="E189" s="498"/>
      <c r="F189" s="397"/>
      <c r="G189" s="403"/>
      <c r="H189" s="404"/>
      <c r="I189" s="403"/>
      <c r="J189" s="390"/>
      <c r="K189" s="390"/>
      <c r="L189" s="416"/>
      <c r="M189" s="407"/>
      <c r="N189" s="408"/>
      <c r="O189" s="406"/>
      <c r="P189" s="406"/>
      <c r="Q189" s="406"/>
      <c r="R189" s="406"/>
      <c r="S189" s="406"/>
      <c r="T189" s="406"/>
      <c r="U189" s="409"/>
      <c r="V189" s="599"/>
      <c r="W189" s="599"/>
      <c r="X189" s="599"/>
      <c r="Y189" s="599"/>
      <c r="Z189" s="401"/>
      <c r="AA189" s="399"/>
      <c r="AB189" s="400" t="e">
        <f t="shared" si="38"/>
        <v>#DIV/0!</v>
      </c>
      <c r="AC189" s="397"/>
      <c r="AD189" s="1113"/>
      <c r="AE189" s="1113"/>
      <c r="AF189" s="1113"/>
      <c r="AG189" s="398"/>
      <c r="AH189" s="399"/>
      <c r="AI189" s="400" t="e">
        <f t="shared" si="39"/>
        <v>#DIV/0!</v>
      </c>
      <c r="AJ189" s="397"/>
    </row>
    <row r="190" spans="1:36" ht="19.899999999999999" hidden="1" customHeight="1">
      <c r="A190" s="506"/>
      <c r="B190" s="497"/>
      <c r="C190" s="497"/>
      <c r="D190" s="497"/>
      <c r="E190" s="498"/>
      <c r="F190" s="397"/>
      <c r="G190" s="403"/>
      <c r="H190" s="404"/>
      <c r="I190" s="403"/>
      <c r="J190" s="390"/>
      <c r="K190" s="390"/>
      <c r="L190" s="416"/>
      <c r="M190" s="407"/>
      <c r="N190" s="408"/>
      <c r="O190" s="406"/>
      <c r="P190" s="406"/>
      <c r="Q190" s="406"/>
      <c r="R190" s="406"/>
      <c r="S190" s="406"/>
      <c r="T190" s="406"/>
      <c r="U190" s="409"/>
      <c r="V190" s="599"/>
      <c r="W190" s="599"/>
      <c r="X190" s="599"/>
      <c r="Y190" s="599"/>
      <c r="Z190" s="401"/>
      <c r="AA190" s="399"/>
      <c r="AB190" s="400" t="e">
        <f t="shared" si="38"/>
        <v>#DIV/0!</v>
      </c>
      <c r="AC190" s="397"/>
      <c r="AD190" s="1113"/>
      <c r="AE190" s="1113"/>
      <c r="AF190" s="1113"/>
      <c r="AG190" s="398"/>
      <c r="AH190" s="399"/>
      <c r="AI190" s="400" t="e">
        <f t="shared" si="39"/>
        <v>#DIV/0!</v>
      </c>
      <c r="AJ190" s="397"/>
    </row>
    <row r="191" spans="1:36" ht="19.899999999999999" hidden="1" customHeight="1">
      <c r="A191" s="506"/>
      <c r="B191" s="497"/>
      <c r="C191" s="497"/>
      <c r="D191" s="497"/>
      <c r="E191" s="498"/>
      <c r="F191" s="397"/>
      <c r="G191" s="403"/>
      <c r="H191" s="404"/>
      <c r="I191" s="403"/>
      <c r="J191" s="390"/>
      <c r="K191" s="390"/>
      <c r="L191" s="416"/>
      <c r="M191" s="407"/>
      <c r="N191" s="408"/>
      <c r="O191" s="406"/>
      <c r="P191" s="406"/>
      <c r="Q191" s="406"/>
      <c r="R191" s="406"/>
      <c r="S191" s="406"/>
      <c r="T191" s="406"/>
      <c r="U191" s="409"/>
      <c r="V191" s="599"/>
      <c r="W191" s="599"/>
      <c r="X191" s="599"/>
      <c r="Y191" s="599"/>
      <c r="Z191" s="401"/>
      <c r="AA191" s="399"/>
      <c r="AB191" s="400" t="e">
        <f t="shared" si="38"/>
        <v>#DIV/0!</v>
      </c>
      <c r="AC191" s="397"/>
      <c r="AD191" s="1113"/>
      <c r="AE191" s="1113"/>
      <c r="AF191" s="1113"/>
      <c r="AG191" s="398"/>
      <c r="AH191" s="399"/>
      <c r="AI191" s="400" t="e">
        <f t="shared" si="39"/>
        <v>#DIV/0!</v>
      </c>
      <c r="AJ191" s="397"/>
    </row>
    <row r="192" spans="1:36" ht="19.899999999999999" hidden="1" customHeight="1">
      <c r="A192" s="506"/>
      <c r="B192" s="497"/>
      <c r="C192" s="497"/>
      <c r="D192" s="497"/>
      <c r="E192" s="498"/>
      <c r="F192" s="397"/>
      <c r="G192" s="403"/>
      <c r="H192" s="404"/>
      <c r="I192" s="403"/>
      <c r="J192" s="390"/>
      <c r="K192" s="390"/>
      <c r="L192" s="416"/>
      <c r="M192" s="407"/>
      <c r="N192" s="408"/>
      <c r="O192" s="406"/>
      <c r="P192" s="406"/>
      <c r="Q192" s="406"/>
      <c r="R192" s="406"/>
      <c r="S192" s="406"/>
      <c r="T192" s="406"/>
      <c r="U192" s="409"/>
      <c r="V192" s="599"/>
      <c r="W192" s="599"/>
      <c r="X192" s="599"/>
      <c r="Y192" s="599"/>
      <c r="Z192" s="401"/>
      <c r="AA192" s="399"/>
      <c r="AB192" s="400" t="e">
        <f t="shared" si="38"/>
        <v>#DIV/0!</v>
      </c>
      <c r="AC192" s="397"/>
      <c r="AD192" s="1113"/>
      <c r="AE192" s="1113"/>
      <c r="AF192" s="1113"/>
      <c r="AG192" s="398"/>
      <c r="AH192" s="399"/>
      <c r="AI192" s="400" t="e">
        <f t="shared" si="39"/>
        <v>#DIV/0!</v>
      </c>
      <c r="AJ192" s="397"/>
    </row>
    <row r="193" spans="1:36" ht="19.899999999999999" hidden="1" customHeight="1">
      <c r="A193" s="506"/>
      <c r="B193" s="497"/>
      <c r="C193" s="497"/>
      <c r="D193" s="497"/>
      <c r="E193" s="498"/>
      <c r="F193" s="397"/>
      <c r="G193" s="403"/>
      <c r="H193" s="404"/>
      <c r="I193" s="403"/>
      <c r="J193" s="390"/>
      <c r="K193" s="390"/>
      <c r="L193" s="416"/>
      <c r="M193" s="407"/>
      <c r="N193" s="408"/>
      <c r="O193" s="406"/>
      <c r="P193" s="406"/>
      <c r="Q193" s="406"/>
      <c r="R193" s="406"/>
      <c r="S193" s="406"/>
      <c r="T193" s="406"/>
      <c r="U193" s="409"/>
      <c r="V193" s="599"/>
      <c r="W193" s="599"/>
      <c r="X193" s="599"/>
      <c r="Y193" s="599"/>
      <c r="Z193" s="401"/>
      <c r="AA193" s="399"/>
      <c r="AB193" s="400" t="e">
        <f t="shared" si="38"/>
        <v>#DIV/0!</v>
      </c>
      <c r="AC193" s="397"/>
      <c r="AD193" s="1113"/>
      <c r="AE193" s="1113"/>
      <c r="AF193" s="1113"/>
      <c r="AG193" s="398"/>
      <c r="AH193" s="399"/>
      <c r="AI193" s="400" t="e">
        <f t="shared" si="39"/>
        <v>#DIV/0!</v>
      </c>
      <c r="AJ193" s="397"/>
    </row>
    <row r="194" spans="1:36" ht="19.899999999999999" hidden="1" customHeight="1">
      <c r="A194" s="506"/>
      <c r="B194" s="497"/>
      <c r="C194" s="497"/>
      <c r="D194" s="497"/>
      <c r="E194" s="498"/>
      <c r="F194" s="397"/>
      <c r="G194" s="403"/>
      <c r="H194" s="404"/>
      <c r="I194" s="403"/>
      <c r="J194" s="390"/>
      <c r="K194" s="390"/>
      <c r="L194" s="416"/>
      <c r="M194" s="407"/>
      <c r="N194" s="408"/>
      <c r="O194" s="406"/>
      <c r="P194" s="406"/>
      <c r="Q194" s="406"/>
      <c r="R194" s="406"/>
      <c r="S194" s="406"/>
      <c r="T194" s="406"/>
      <c r="U194" s="409"/>
      <c r="V194" s="599"/>
      <c r="W194" s="599"/>
      <c r="X194" s="599"/>
      <c r="Y194" s="599"/>
      <c r="Z194" s="401"/>
      <c r="AA194" s="399"/>
      <c r="AB194" s="400" t="e">
        <f t="shared" si="38"/>
        <v>#DIV/0!</v>
      </c>
      <c r="AC194" s="397"/>
      <c r="AD194" s="1113"/>
      <c r="AE194" s="1113"/>
      <c r="AF194" s="1113"/>
      <c r="AG194" s="398"/>
      <c r="AH194" s="399"/>
      <c r="AI194" s="400" t="e">
        <f t="shared" si="39"/>
        <v>#DIV/0!</v>
      </c>
      <c r="AJ194" s="397"/>
    </row>
    <row r="195" spans="1:36" ht="19.899999999999999" hidden="1" customHeight="1">
      <c r="A195" s="506"/>
      <c r="B195" s="497"/>
      <c r="C195" s="497"/>
      <c r="D195" s="497"/>
      <c r="E195" s="498"/>
      <c r="F195" s="397"/>
      <c r="G195" s="403"/>
      <c r="H195" s="404"/>
      <c r="I195" s="403"/>
      <c r="J195" s="390"/>
      <c r="K195" s="390"/>
      <c r="L195" s="416"/>
      <c r="M195" s="407"/>
      <c r="N195" s="408"/>
      <c r="O195" s="406"/>
      <c r="P195" s="406"/>
      <c r="Q195" s="406"/>
      <c r="R195" s="406"/>
      <c r="S195" s="406"/>
      <c r="T195" s="406"/>
      <c r="U195" s="409"/>
      <c r="V195" s="599"/>
      <c r="W195" s="599"/>
      <c r="X195" s="599"/>
      <c r="Y195" s="599"/>
      <c r="Z195" s="401"/>
      <c r="AA195" s="399"/>
      <c r="AB195" s="400" t="e">
        <f t="shared" si="38"/>
        <v>#DIV/0!</v>
      </c>
      <c r="AC195" s="397"/>
      <c r="AD195" s="1113"/>
      <c r="AE195" s="1113"/>
      <c r="AF195" s="1113"/>
      <c r="AG195" s="398"/>
      <c r="AH195" s="399"/>
      <c r="AI195" s="400" t="e">
        <f t="shared" si="39"/>
        <v>#DIV/0!</v>
      </c>
      <c r="AJ195" s="397"/>
    </row>
    <row r="196" spans="1:36" ht="19.899999999999999" hidden="1" customHeight="1">
      <c r="A196" s="506"/>
      <c r="B196" s="497"/>
      <c r="C196" s="497"/>
      <c r="D196" s="497"/>
      <c r="E196" s="498"/>
      <c r="F196" s="397"/>
      <c r="G196" s="403"/>
      <c r="H196" s="404"/>
      <c r="I196" s="403"/>
      <c r="J196" s="390"/>
      <c r="K196" s="390"/>
      <c r="L196" s="416"/>
      <c r="M196" s="407"/>
      <c r="N196" s="408"/>
      <c r="O196" s="406"/>
      <c r="P196" s="406"/>
      <c r="Q196" s="406"/>
      <c r="R196" s="406"/>
      <c r="S196" s="406"/>
      <c r="T196" s="406"/>
      <c r="U196" s="409"/>
      <c r="V196" s="599"/>
      <c r="W196" s="599"/>
      <c r="X196" s="599"/>
      <c r="Y196" s="599"/>
      <c r="Z196" s="401"/>
      <c r="AA196" s="399"/>
      <c r="AB196" s="400" t="e">
        <f t="shared" si="38"/>
        <v>#DIV/0!</v>
      </c>
      <c r="AC196" s="397"/>
      <c r="AD196" s="1113"/>
      <c r="AE196" s="1113"/>
      <c r="AF196" s="1113"/>
      <c r="AG196" s="398"/>
      <c r="AH196" s="399"/>
      <c r="AI196" s="400" t="e">
        <f t="shared" si="39"/>
        <v>#DIV/0!</v>
      </c>
      <c r="AJ196" s="397"/>
    </row>
    <row r="197" spans="1:36" ht="19.899999999999999" hidden="1" customHeight="1">
      <c r="A197" s="506"/>
      <c r="B197" s="497"/>
      <c r="C197" s="497"/>
      <c r="D197" s="497"/>
      <c r="E197" s="498"/>
      <c r="F197" s="397"/>
      <c r="G197" s="403"/>
      <c r="H197" s="404"/>
      <c r="I197" s="403"/>
      <c r="J197" s="390"/>
      <c r="K197" s="390"/>
      <c r="L197" s="416"/>
      <c r="M197" s="407"/>
      <c r="N197" s="408"/>
      <c r="O197" s="406"/>
      <c r="P197" s="406"/>
      <c r="Q197" s="406"/>
      <c r="R197" s="406"/>
      <c r="S197" s="406"/>
      <c r="T197" s="406"/>
      <c r="U197" s="409"/>
      <c r="V197" s="599"/>
      <c r="W197" s="599"/>
      <c r="X197" s="599"/>
      <c r="Y197" s="599"/>
      <c r="Z197" s="401"/>
      <c r="AA197" s="399"/>
      <c r="AB197" s="400" t="e">
        <f t="shared" si="38"/>
        <v>#DIV/0!</v>
      </c>
      <c r="AC197" s="397"/>
      <c r="AD197" s="1113"/>
      <c r="AE197" s="1113"/>
      <c r="AF197" s="1113"/>
      <c r="AG197" s="398"/>
      <c r="AH197" s="399"/>
      <c r="AI197" s="400" t="e">
        <f t="shared" si="39"/>
        <v>#DIV/0!</v>
      </c>
      <c r="AJ197" s="397"/>
    </row>
    <row r="198" spans="1:36" ht="19.899999999999999" hidden="1" customHeight="1">
      <c r="A198" s="506"/>
      <c r="B198" s="497"/>
      <c r="C198" s="497"/>
      <c r="D198" s="497"/>
      <c r="E198" s="498"/>
      <c r="F198" s="397"/>
      <c r="G198" s="403"/>
      <c r="H198" s="404"/>
      <c r="I198" s="403"/>
      <c r="J198" s="390"/>
      <c r="K198" s="390"/>
      <c r="L198" s="416"/>
      <c r="M198" s="407"/>
      <c r="N198" s="408"/>
      <c r="O198" s="406"/>
      <c r="P198" s="406"/>
      <c r="Q198" s="406"/>
      <c r="R198" s="406"/>
      <c r="S198" s="406"/>
      <c r="T198" s="406"/>
      <c r="U198" s="409"/>
      <c r="V198" s="600"/>
      <c r="W198" s="600"/>
      <c r="X198" s="600"/>
      <c r="Y198" s="600"/>
      <c r="Z198" s="532"/>
      <c r="AA198" s="533"/>
      <c r="AB198" s="534" t="e">
        <f t="shared" si="38"/>
        <v>#DIV/0!</v>
      </c>
      <c r="AC198" s="535"/>
      <c r="AD198" s="1120"/>
      <c r="AE198" s="1120"/>
      <c r="AF198" s="1120"/>
      <c r="AG198" s="536"/>
      <c r="AH198" s="533"/>
      <c r="AI198" s="534" t="e">
        <f t="shared" si="39"/>
        <v>#DIV/0!</v>
      </c>
      <c r="AJ198" s="535"/>
    </row>
    <row r="199" spans="1:36" ht="19.899999999999999" hidden="1" customHeight="1">
      <c r="B199" s="417"/>
      <c r="C199" s="417"/>
      <c r="D199" s="417"/>
      <c r="E199" s="418"/>
      <c r="F199" s="419"/>
      <c r="G199" s="419"/>
      <c r="H199" s="420"/>
      <c r="I199" s="419"/>
      <c r="J199" s="421"/>
      <c r="K199" s="421"/>
      <c r="L199" s="421"/>
      <c r="M199" s="422"/>
      <c r="N199" s="423"/>
      <c r="O199" s="422"/>
      <c r="P199" s="422"/>
      <c r="Q199" s="422"/>
      <c r="R199" s="422"/>
      <c r="S199" s="422"/>
      <c r="T199" s="422"/>
      <c r="U199" s="422"/>
      <c r="V199" s="422"/>
      <c r="W199" s="422"/>
      <c r="X199" s="422"/>
      <c r="Y199" s="422"/>
      <c r="Z199" s="422"/>
      <c r="AA199" s="424"/>
      <c r="AB199" s="425"/>
      <c r="AC199" s="419"/>
      <c r="AD199" s="419"/>
      <c r="AE199" s="419"/>
      <c r="AF199" s="419"/>
      <c r="AG199" s="423"/>
      <c r="AH199" s="424"/>
      <c r="AI199" s="425"/>
      <c r="AJ199" s="419"/>
    </row>
    <row r="200" spans="1:36" ht="19.899999999999999" hidden="1" customHeight="1">
      <c r="B200" s="417"/>
      <c r="C200" s="417"/>
      <c r="D200" s="417"/>
      <c r="E200" s="418"/>
      <c r="F200" s="419"/>
      <c r="G200" s="419"/>
      <c r="H200" s="420"/>
      <c r="I200" s="419"/>
      <c r="J200" s="421"/>
      <c r="K200" s="421"/>
      <c r="L200" s="421"/>
      <c r="M200" s="422"/>
      <c r="N200" s="423"/>
      <c r="O200" s="422"/>
      <c r="P200" s="422"/>
      <c r="Q200" s="422"/>
      <c r="R200" s="422"/>
      <c r="S200" s="422"/>
      <c r="T200" s="422"/>
      <c r="U200" s="422"/>
      <c r="V200" s="422"/>
      <c r="W200" s="422"/>
      <c r="X200" s="422"/>
      <c r="Y200" s="422"/>
      <c r="Z200" s="422"/>
      <c r="AA200" s="424"/>
      <c r="AB200" s="425"/>
      <c r="AC200" s="419"/>
      <c r="AD200" s="419"/>
      <c r="AE200" s="419"/>
      <c r="AF200" s="419"/>
      <c r="AG200" s="423"/>
      <c r="AH200" s="424"/>
      <c r="AI200" s="425"/>
      <c r="AJ200" s="419"/>
    </row>
    <row r="201" spans="1:36" ht="19.899999999999999" hidden="1" customHeight="1">
      <c r="B201" s="417"/>
      <c r="C201" s="417"/>
      <c r="D201" s="417"/>
      <c r="E201" s="418"/>
      <c r="F201" s="419"/>
      <c r="G201" s="419"/>
      <c r="H201" s="420"/>
      <c r="I201" s="419"/>
      <c r="J201" s="421"/>
      <c r="K201" s="421"/>
      <c r="L201" s="421"/>
      <c r="M201" s="422"/>
      <c r="N201" s="423"/>
      <c r="O201" s="422"/>
      <c r="P201" s="422"/>
      <c r="Q201" s="422"/>
      <c r="R201" s="422"/>
      <c r="S201" s="422"/>
      <c r="T201" s="422"/>
      <c r="U201" s="422"/>
      <c r="V201" s="422"/>
      <c r="W201" s="422"/>
      <c r="X201" s="422"/>
      <c r="Y201" s="422"/>
      <c r="Z201" s="422"/>
      <c r="AA201" s="424"/>
      <c r="AB201" s="425"/>
      <c r="AC201" s="419"/>
      <c r="AD201" s="419"/>
      <c r="AE201" s="419"/>
      <c r="AF201" s="419"/>
      <c r="AG201" s="423"/>
      <c r="AH201" s="424"/>
      <c r="AI201" s="425"/>
      <c r="AJ201" s="419"/>
    </row>
    <row r="202" spans="1:36" ht="19.899999999999999" hidden="1" customHeight="1">
      <c r="B202" s="417"/>
      <c r="C202" s="417"/>
      <c r="D202" s="417"/>
      <c r="E202" s="418"/>
      <c r="F202" s="419"/>
      <c r="G202" s="419"/>
      <c r="H202" s="420"/>
      <c r="I202" s="419"/>
      <c r="J202" s="421"/>
      <c r="K202" s="421"/>
      <c r="L202" s="421"/>
      <c r="M202" s="422"/>
      <c r="N202" s="423"/>
      <c r="O202" s="422"/>
      <c r="P202" s="422"/>
      <c r="Q202" s="422"/>
      <c r="R202" s="422"/>
      <c r="S202" s="422"/>
      <c r="T202" s="422"/>
      <c r="U202" s="422"/>
      <c r="V202" s="422"/>
      <c r="W202" s="422"/>
      <c r="X202" s="422"/>
      <c r="Y202" s="422"/>
      <c r="Z202" s="422"/>
      <c r="AA202" s="424"/>
      <c r="AB202" s="425"/>
      <c r="AC202" s="419"/>
      <c r="AD202" s="419"/>
      <c r="AE202" s="419"/>
      <c r="AF202" s="419"/>
      <c r="AG202" s="423"/>
      <c r="AH202" s="424"/>
      <c r="AI202" s="425"/>
      <c r="AJ202" s="419"/>
    </row>
    <row r="203" spans="1:36" hidden="1"/>
    <row r="204" spans="1:36" hidden="1"/>
    <row r="205" spans="1:36" hidden="1"/>
    <row r="206" spans="1:36" hidden="1"/>
    <row r="207" spans="1:36" hidden="1"/>
    <row r="208" spans="1:36" hidden="1"/>
    <row r="209" spans="10:12" hidden="1"/>
    <row r="210" spans="10:12" ht="15" hidden="1">
      <c r="J210" s="382" t="s">
        <v>364</v>
      </c>
      <c r="L210" s="385" t="s">
        <v>350</v>
      </c>
    </row>
    <row r="211" spans="10:12" ht="15" hidden="1">
      <c r="L211" s="386"/>
    </row>
    <row r="212" spans="10:12" ht="15" hidden="1">
      <c r="J212" s="382" t="s">
        <v>365</v>
      </c>
      <c r="L212" s="530" t="s">
        <v>134</v>
      </c>
    </row>
    <row r="213" spans="10:12" ht="15" hidden="1">
      <c r="J213" s="382" t="s">
        <v>366</v>
      </c>
      <c r="L213" s="530" t="s">
        <v>378</v>
      </c>
    </row>
    <row r="214" spans="10:12" ht="15" hidden="1">
      <c r="J214" s="382" t="s">
        <v>367</v>
      </c>
      <c r="L214" s="530" t="s">
        <v>205</v>
      </c>
    </row>
    <row r="215" spans="10:12" ht="15" hidden="1">
      <c r="J215" s="382" t="s">
        <v>368</v>
      </c>
      <c r="L215" s="530" t="s">
        <v>362</v>
      </c>
    </row>
    <row r="216" spans="10:12" ht="15" hidden="1">
      <c r="J216" s="382" t="s">
        <v>369</v>
      </c>
      <c r="L216" s="530" t="s">
        <v>379</v>
      </c>
    </row>
    <row r="217" spans="10:12" ht="15" hidden="1">
      <c r="J217" s="382" t="s">
        <v>229</v>
      </c>
      <c r="L217" s="530" t="s">
        <v>380</v>
      </c>
    </row>
    <row r="218" spans="10:12" ht="15" hidden="1">
      <c r="J218" s="382" t="s">
        <v>230</v>
      </c>
      <c r="L218" s="530" t="s">
        <v>351</v>
      </c>
    </row>
    <row r="219" spans="10:12" ht="15" hidden="1">
      <c r="J219" s="382" t="s">
        <v>231</v>
      </c>
      <c r="L219" s="530" t="s">
        <v>352</v>
      </c>
    </row>
    <row r="220" spans="10:12" ht="15" hidden="1">
      <c r="J220" s="382" t="s">
        <v>370</v>
      </c>
      <c r="L220" s="530" t="s">
        <v>432</v>
      </c>
    </row>
    <row r="221" spans="10:12" ht="15" hidden="1">
      <c r="J221" s="382" t="s">
        <v>363</v>
      </c>
      <c r="L221" s="530" t="s">
        <v>435</v>
      </c>
    </row>
    <row r="222" spans="10:12" ht="15" hidden="1">
      <c r="L222" s="530" t="s">
        <v>436</v>
      </c>
    </row>
    <row r="223" spans="10:12" ht="15" hidden="1">
      <c r="L223" s="530" t="s">
        <v>437</v>
      </c>
    </row>
    <row r="224" spans="10:12" ht="15" hidden="1">
      <c r="L224" s="530" t="s">
        <v>440</v>
      </c>
    </row>
    <row r="225" spans="11:12" ht="15" hidden="1">
      <c r="L225" s="530" t="s">
        <v>354</v>
      </c>
    </row>
    <row r="226" spans="11:12" ht="15" hidden="1">
      <c r="L226" s="530" t="s">
        <v>441</v>
      </c>
    </row>
    <row r="227" spans="11:12" ht="15" hidden="1">
      <c r="L227" s="530" t="s">
        <v>173</v>
      </c>
    </row>
    <row r="228" spans="11:12" ht="15" hidden="1">
      <c r="L228" s="530" t="s">
        <v>100</v>
      </c>
    </row>
    <row r="229" spans="11:12" ht="15" hidden="1">
      <c r="L229" s="530" t="s">
        <v>462</v>
      </c>
    </row>
    <row r="230" spans="11:12" ht="15" hidden="1">
      <c r="K230" s="387"/>
      <c r="L230" s="530" t="s">
        <v>188</v>
      </c>
    </row>
    <row r="231" spans="11:12" ht="15" hidden="1">
      <c r="L231" s="530" t="s">
        <v>463</v>
      </c>
    </row>
    <row r="232" spans="11:12" ht="15" hidden="1">
      <c r="L232" s="530" t="s">
        <v>464</v>
      </c>
    </row>
    <row r="233" spans="11:12" ht="15" hidden="1">
      <c r="L233" s="530" t="s">
        <v>469</v>
      </c>
    </row>
    <row r="234" spans="11:12" ht="15" hidden="1">
      <c r="L234" s="530" t="s">
        <v>472</v>
      </c>
    </row>
    <row r="235" spans="11:12" ht="15" hidden="1">
      <c r="L235" s="530" t="s">
        <v>473</v>
      </c>
    </row>
    <row r="236" spans="11:12" ht="15" hidden="1">
      <c r="L236" s="530" t="s">
        <v>190</v>
      </c>
    </row>
    <row r="237" spans="11:12" ht="15" hidden="1">
      <c r="L237" s="530" t="s">
        <v>74</v>
      </c>
    </row>
    <row r="238" spans="11:12" ht="15" hidden="1">
      <c r="L238" s="530" t="s">
        <v>436</v>
      </c>
    </row>
    <row r="239" spans="11:12" ht="15" hidden="1">
      <c r="K239" s="387"/>
      <c r="L239" s="530" t="s">
        <v>700</v>
      </c>
    </row>
    <row r="240" spans="11:12" ht="15" hidden="1">
      <c r="L240" s="530" t="s">
        <v>202</v>
      </c>
    </row>
    <row r="241" spans="12:14" ht="15" hidden="1">
      <c r="L241" s="530" t="s">
        <v>509</v>
      </c>
    </row>
    <row r="242" spans="12:14" ht="15" hidden="1">
      <c r="L242" s="530" t="s">
        <v>591</v>
      </c>
    </row>
    <row r="243" spans="12:14" ht="15" hidden="1">
      <c r="L243" s="530" t="s">
        <v>594</v>
      </c>
    </row>
    <row r="244" spans="12:14" ht="15" hidden="1">
      <c r="L244" s="530" t="s">
        <v>596</v>
      </c>
    </row>
    <row r="245" spans="12:14" ht="15" hidden="1">
      <c r="L245" s="530" t="s">
        <v>602</v>
      </c>
    </row>
    <row r="246" spans="12:14" ht="15" hidden="1">
      <c r="L246" s="530" t="s">
        <v>606</v>
      </c>
      <c r="N246" s="530"/>
    </row>
    <row r="247" spans="12:14" ht="15" hidden="1">
      <c r="L247" s="530" t="s">
        <v>353</v>
      </c>
    </row>
    <row r="248" spans="12:14" ht="15" hidden="1">
      <c r="L248" s="530" t="s">
        <v>355</v>
      </c>
    </row>
    <row r="249" spans="12:14" ht="15" hidden="1">
      <c r="L249" s="530" t="s">
        <v>356</v>
      </c>
    </row>
    <row r="250" spans="12:14" ht="15" hidden="1">
      <c r="L250" s="530" t="s">
        <v>357</v>
      </c>
    </row>
    <row r="251" spans="12:14" ht="15" hidden="1">
      <c r="L251" s="530" t="s">
        <v>192</v>
      </c>
    </row>
    <row r="252" spans="12:14" ht="15" hidden="1">
      <c r="L252" s="530" t="s">
        <v>358</v>
      </c>
    </row>
    <row r="253" spans="12:14" ht="15" hidden="1">
      <c r="L253" s="530" t="s">
        <v>359</v>
      </c>
    </row>
    <row r="254" spans="12:14" ht="15" hidden="1">
      <c r="L254" s="530" t="s">
        <v>348</v>
      </c>
    </row>
    <row r="255" spans="12:14" ht="15" hidden="1">
      <c r="L255" s="530" t="s">
        <v>360</v>
      </c>
    </row>
    <row r="256" spans="12:14" ht="15" hidden="1">
      <c r="L256" s="530" t="s">
        <v>361</v>
      </c>
    </row>
    <row r="257" spans="12:12" ht="15" hidden="1">
      <c r="L257" s="530" t="s">
        <v>357</v>
      </c>
    </row>
    <row r="258" spans="12:12" ht="15" hidden="1">
      <c r="L258" s="530" t="s">
        <v>363</v>
      </c>
    </row>
    <row r="259" spans="12:12" hidden="1"/>
    <row r="260" spans="12:12" hidden="1"/>
  </sheetData>
  <sheetProtection password="E86C" sheet="1" objects="1" scenarios="1"/>
  <mergeCells count="28">
    <mergeCell ref="W7:Y7"/>
    <mergeCell ref="B5:AB5"/>
    <mergeCell ref="A7:A9"/>
    <mergeCell ref="B7:B9"/>
    <mergeCell ref="C7:C9"/>
    <mergeCell ref="D7:D9"/>
    <mergeCell ref="E7:E9"/>
    <mergeCell ref="F7:F9"/>
    <mergeCell ref="H7:H9"/>
    <mergeCell ref="I7:I9"/>
    <mergeCell ref="J7:J9"/>
    <mergeCell ref="K7:K9"/>
    <mergeCell ref="L7:L9"/>
    <mergeCell ref="M7:M9"/>
    <mergeCell ref="N7:U8"/>
    <mergeCell ref="V7:V9"/>
    <mergeCell ref="W8:W9"/>
    <mergeCell ref="X8:X9"/>
    <mergeCell ref="Y8:Y9"/>
    <mergeCell ref="AG8:AG9"/>
    <mergeCell ref="AH8:AH9"/>
    <mergeCell ref="AJ8:AJ9"/>
    <mergeCell ref="Z7:AC8"/>
    <mergeCell ref="AD7:AE9"/>
    <mergeCell ref="AG7:AJ7"/>
    <mergeCell ref="AL7:AN8"/>
    <mergeCell ref="AI8:AI9"/>
    <mergeCell ref="AF7:AF9"/>
  </mergeCells>
  <dataValidations count="3">
    <dataValidation type="list" allowBlank="1" showInputMessage="1" showErrorMessage="1" sqref="K10:K202" xr:uid="{00000000-0002-0000-0D00-000000000000}">
      <formula1>$J$217:$J$221</formula1>
    </dataValidation>
    <dataValidation type="list" allowBlank="1" showInputMessage="1" showErrorMessage="1" sqref="J10:J202" xr:uid="{00000000-0002-0000-0D00-000001000000}">
      <formula1>$J$212:$J$216</formula1>
    </dataValidation>
    <dataValidation type="list" allowBlank="1" showInputMessage="1" showErrorMessage="1" sqref="L75:L202 L10:L73" xr:uid="{00000000-0002-0000-0D00-000002000000}">
      <formula1>$L$212:$L$257</formula1>
    </dataValidation>
  </dataValidations>
  <pageMargins left="0" right="0" top="0" bottom="0" header="0.3" footer="0.3"/>
  <pageSetup paperSize="9" scale="7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00CC"/>
  </sheetPr>
  <dimension ref="A1:AK262"/>
  <sheetViews>
    <sheetView tabSelected="1" view="pageBreakPreview" zoomScale="78" zoomScaleNormal="70" zoomScaleSheetLayoutView="78" workbookViewId="0">
      <pane xSplit="5" ySplit="9" topLeftCell="L10" activePane="bottomRight" state="frozen"/>
      <selection pane="topRight" activeCell="D1" sqref="D1"/>
      <selection pane="bottomLeft" activeCell="A10" sqref="A10"/>
      <selection pane="bottomRight" activeCell="O82" sqref="O82"/>
    </sheetView>
  </sheetViews>
  <sheetFormatPr defaultColWidth="8.85546875" defaultRowHeight="12.75"/>
  <cols>
    <col min="1" max="1" width="5.5703125" style="382" customWidth="1"/>
    <col min="2" max="2" width="10.42578125" style="382" hidden="1" customWidth="1"/>
    <col min="3" max="3" width="6.85546875" style="382" customWidth="1"/>
    <col min="4" max="4" width="6.28515625" style="382" customWidth="1"/>
    <col min="5" max="5" width="68.28515625" style="382" customWidth="1"/>
    <col min="6" max="6" width="17.42578125" style="382" hidden="1" customWidth="1"/>
    <col min="7" max="7" width="13" style="382" hidden="1" customWidth="1"/>
    <col min="8" max="8" width="12" style="405" hidden="1" customWidth="1"/>
    <col min="9" max="9" width="11.42578125" style="382" hidden="1" customWidth="1"/>
    <col min="10" max="10" width="7.5703125" style="382" hidden="1" customWidth="1"/>
    <col min="11" max="11" width="11.140625" style="382" hidden="1" customWidth="1"/>
    <col min="12" max="12" width="15.85546875" style="382" customWidth="1"/>
    <col min="13" max="13" width="10.85546875" style="729" customWidth="1"/>
    <col min="14" max="14" width="9.42578125" style="405" customWidth="1"/>
    <col min="15" max="15" width="8.5703125" style="382" customWidth="1"/>
    <col min="16" max="17" width="8.7109375" style="382" customWidth="1"/>
    <col min="18" max="18" width="9.28515625" style="382" customWidth="1"/>
    <col min="19" max="20" width="8" style="382" customWidth="1"/>
    <col min="21" max="21" width="7.7109375" style="382" customWidth="1"/>
    <col min="22" max="22" width="8.7109375" style="382" hidden="1" customWidth="1"/>
    <col min="23" max="24" width="10.7109375" style="382" hidden="1" customWidth="1"/>
    <col min="25" max="25" width="11.7109375" style="382" hidden="1" customWidth="1"/>
    <col min="26" max="27" width="10.7109375" style="382" customWidth="1"/>
    <col min="28" max="28" width="11.7109375" style="382" customWidth="1"/>
    <col min="29" max="29" width="20.28515625" style="382" customWidth="1"/>
    <col min="30" max="31" width="10.7109375" style="382" hidden="1" customWidth="1"/>
    <col min="32" max="32" width="11.7109375" style="382" hidden="1" customWidth="1"/>
    <col min="33" max="33" width="13.7109375" style="382" hidden="1" customWidth="1"/>
    <col min="34" max="34" width="1" style="382" customWidth="1"/>
    <col min="35" max="37" width="13.7109375" style="382" hidden="1" customWidth="1"/>
    <col min="38" max="16384" width="8.85546875" style="382"/>
  </cols>
  <sheetData>
    <row r="1" spans="1:37" ht="15" customHeight="1">
      <c r="A1" s="494"/>
      <c r="B1" s="494"/>
      <c r="C1" s="494"/>
      <c r="D1" s="494"/>
      <c r="E1" s="494"/>
      <c r="F1" s="494"/>
      <c r="G1" s="494"/>
      <c r="H1" s="495"/>
      <c r="I1" s="494"/>
      <c r="J1" s="494"/>
      <c r="K1" s="494"/>
      <c r="L1" s="494"/>
      <c r="M1" s="720"/>
      <c r="N1" s="495"/>
      <c r="O1" s="494"/>
      <c r="P1" s="494"/>
      <c r="Q1" s="494"/>
      <c r="R1" s="494"/>
      <c r="S1" s="494"/>
      <c r="T1" s="494"/>
      <c r="U1" s="494"/>
      <c r="V1" s="494"/>
      <c r="W1" s="494"/>
      <c r="X1" s="494"/>
      <c r="Y1" s="494"/>
      <c r="Z1" s="494"/>
      <c r="AA1" s="494"/>
      <c r="AB1" s="494"/>
      <c r="AC1" s="494"/>
      <c r="AD1" s="494"/>
      <c r="AE1" s="494"/>
      <c r="AF1" s="494"/>
      <c r="AG1" s="494"/>
    </row>
    <row r="2" spans="1:37" ht="15" customHeight="1">
      <c r="A2" s="494"/>
      <c r="B2" s="494"/>
      <c r="C2" s="494"/>
      <c r="D2" s="494"/>
      <c r="E2" s="494"/>
      <c r="F2" s="494"/>
      <c r="G2" s="494"/>
      <c r="H2" s="495"/>
      <c r="I2" s="494"/>
      <c r="J2" s="494"/>
      <c r="K2" s="494"/>
      <c r="L2" s="494"/>
      <c r="M2" s="720"/>
      <c r="N2" s="495"/>
      <c r="O2" s="494"/>
      <c r="P2" s="494"/>
      <c r="Q2" s="494"/>
      <c r="R2" s="494"/>
      <c r="S2" s="494"/>
      <c r="T2" s="494"/>
      <c r="U2" s="494"/>
      <c r="V2" s="494"/>
      <c r="W2" s="494"/>
      <c r="X2" s="494"/>
      <c r="Y2" s="494"/>
      <c r="Z2" s="494"/>
      <c r="AA2" s="494"/>
      <c r="AB2" s="494"/>
      <c r="AC2" s="494"/>
      <c r="AD2" s="494"/>
      <c r="AE2" s="494"/>
      <c r="AF2" s="494"/>
      <c r="AG2" s="494"/>
    </row>
    <row r="3" spans="1:37" ht="15" customHeight="1">
      <c r="A3" s="494"/>
      <c r="B3" s="494"/>
      <c r="C3" s="494"/>
      <c r="D3" s="494"/>
      <c r="E3" s="494"/>
      <c r="F3" s="494"/>
      <c r="G3" s="494"/>
      <c r="H3" s="495"/>
      <c r="I3" s="494"/>
      <c r="J3" s="494"/>
      <c r="K3" s="494"/>
      <c r="L3" s="494"/>
      <c r="M3" s="720"/>
      <c r="N3" s="495"/>
      <c r="O3" s="494"/>
      <c r="P3" s="494"/>
      <c r="Q3" s="494"/>
      <c r="R3" s="494"/>
      <c r="S3" s="494"/>
      <c r="T3" s="494"/>
      <c r="U3" s="494"/>
      <c r="V3" s="494"/>
      <c r="W3" s="494"/>
      <c r="X3" s="494"/>
      <c r="Y3" s="494"/>
      <c r="Z3" s="494"/>
      <c r="AA3" s="494"/>
      <c r="AB3" s="494"/>
      <c r="AC3" s="494"/>
      <c r="AD3" s="494"/>
      <c r="AE3" s="494"/>
      <c r="AF3" s="494"/>
      <c r="AG3" s="494"/>
    </row>
    <row r="4" spans="1:37" ht="15" customHeight="1">
      <c r="A4" s="494"/>
      <c r="B4" s="494"/>
      <c r="C4" s="494"/>
      <c r="D4" s="494"/>
      <c r="E4" s="494"/>
      <c r="F4" s="494"/>
      <c r="G4" s="494"/>
      <c r="H4" s="495"/>
      <c r="I4" s="494"/>
      <c r="J4" s="494"/>
      <c r="K4" s="494"/>
      <c r="L4" s="494"/>
      <c r="M4" s="720"/>
      <c r="N4" s="495"/>
      <c r="O4" s="494"/>
      <c r="P4" s="494"/>
      <c r="Q4" s="494"/>
      <c r="R4" s="494"/>
      <c r="S4" s="494"/>
      <c r="T4" s="494"/>
      <c r="U4" s="494"/>
      <c r="V4" s="494"/>
      <c r="W4" s="494"/>
      <c r="X4" s="494"/>
      <c r="Y4" s="494"/>
      <c r="Z4" s="494"/>
      <c r="AA4" s="494"/>
      <c r="AB4" s="494"/>
      <c r="AC4" s="494"/>
      <c r="AD4" s="494"/>
      <c r="AE4" s="494"/>
      <c r="AF4" s="494"/>
      <c r="AG4" s="494"/>
    </row>
    <row r="5" spans="1:37" ht="22.9" customHeight="1">
      <c r="A5" s="494"/>
      <c r="B5" s="1564" t="s">
        <v>711</v>
      </c>
      <c r="C5" s="1564"/>
      <c r="D5" s="1564"/>
      <c r="E5" s="1564"/>
      <c r="F5" s="1564"/>
      <c r="G5" s="1564"/>
      <c r="H5" s="1564"/>
      <c r="I5" s="1564"/>
      <c r="J5" s="1564"/>
      <c r="K5" s="1564"/>
      <c r="L5" s="1564"/>
      <c r="M5" s="1564"/>
      <c r="N5" s="1564"/>
      <c r="O5" s="1564"/>
      <c r="P5" s="1564"/>
      <c r="Q5" s="1564"/>
      <c r="R5" s="1564"/>
      <c r="S5" s="1564"/>
      <c r="T5" s="1564"/>
      <c r="U5" s="1564"/>
      <c r="V5" s="1564"/>
      <c r="W5" s="621"/>
      <c r="X5" s="621"/>
      <c r="Y5" s="621"/>
      <c r="Z5" s="621"/>
      <c r="AA5" s="621"/>
      <c r="AB5" s="621"/>
      <c r="AC5" s="621"/>
      <c r="AD5" s="621"/>
      <c r="AE5" s="621"/>
      <c r="AF5" s="621"/>
      <c r="AG5" s="621"/>
    </row>
    <row r="6" spans="1:37" ht="2.4500000000000002" customHeight="1" thickBot="1">
      <c r="B6" s="383"/>
      <c r="C6" s="383"/>
      <c r="D6" s="383"/>
      <c r="E6" s="383"/>
      <c r="F6" s="383"/>
      <c r="G6" s="383"/>
      <c r="H6" s="383"/>
      <c r="I6" s="383"/>
      <c r="J6" s="383"/>
      <c r="K6" s="383"/>
      <c r="L6" s="383"/>
      <c r="M6" s="383"/>
      <c r="N6" s="384"/>
      <c r="O6" s="384"/>
      <c r="P6" s="384"/>
      <c r="Q6" s="384"/>
      <c r="R6" s="384"/>
      <c r="S6" s="384"/>
      <c r="T6" s="384"/>
      <c r="U6" s="384"/>
      <c r="V6" s="384"/>
      <c r="W6" s="384"/>
      <c r="X6" s="384"/>
      <c r="Y6" s="384"/>
      <c r="Z6" s="383"/>
      <c r="AA6" s="383"/>
      <c r="AB6" s="383"/>
      <c r="AC6" s="383"/>
      <c r="AD6" s="384"/>
      <c r="AE6" s="383"/>
      <c r="AF6" s="383"/>
      <c r="AG6" s="383"/>
    </row>
    <row r="7" spans="1:37" ht="14.45" customHeight="1">
      <c r="A7" s="1553" t="s">
        <v>745</v>
      </c>
      <c r="B7" s="1553" t="s">
        <v>458</v>
      </c>
      <c r="C7" s="1553" t="s">
        <v>670</v>
      </c>
      <c r="D7" s="1553" t="s">
        <v>375</v>
      </c>
      <c r="E7" s="1556" t="s">
        <v>746</v>
      </c>
      <c r="F7" s="1556" t="s">
        <v>347</v>
      </c>
      <c r="G7" s="696"/>
      <c r="H7" s="1556" t="s">
        <v>457</v>
      </c>
      <c r="I7" s="1556" t="s">
        <v>456</v>
      </c>
      <c r="J7" s="1556" t="s">
        <v>426</v>
      </c>
      <c r="K7" s="1556" t="s">
        <v>371</v>
      </c>
      <c r="L7" s="1837" t="s">
        <v>348</v>
      </c>
      <c r="M7" s="1571" t="s">
        <v>374</v>
      </c>
      <c r="N7" s="1840" t="s">
        <v>277</v>
      </c>
      <c r="O7" s="1841"/>
      <c r="P7" s="1841"/>
      <c r="Q7" s="1841"/>
      <c r="R7" s="1841"/>
      <c r="S7" s="1841"/>
      <c r="T7" s="1841"/>
      <c r="U7" s="1842"/>
      <c r="V7" s="1839" t="s">
        <v>693</v>
      </c>
      <c r="W7" s="1572" t="s">
        <v>658</v>
      </c>
      <c r="X7" s="1573"/>
      <c r="Y7" s="1574"/>
      <c r="Z7" s="1575" t="s">
        <v>689</v>
      </c>
      <c r="AA7" s="1567"/>
      <c r="AB7" s="1567"/>
      <c r="AC7" s="1576"/>
      <c r="AD7" s="1567" t="s">
        <v>695</v>
      </c>
      <c r="AE7" s="1567"/>
      <c r="AF7" s="1567"/>
      <c r="AG7" s="1567"/>
      <c r="AI7" s="1547" t="s">
        <v>690</v>
      </c>
      <c r="AJ7" s="1548"/>
      <c r="AK7" s="1549"/>
    </row>
    <row r="8" spans="1:37" ht="66" customHeight="1">
      <c r="A8" s="1554"/>
      <c r="B8" s="1554"/>
      <c r="C8" s="1554"/>
      <c r="D8" s="1554"/>
      <c r="E8" s="1557"/>
      <c r="F8" s="1557"/>
      <c r="G8" s="697" t="s">
        <v>518</v>
      </c>
      <c r="H8" s="1557"/>
      <c r="I8" s="1557"/>
      <c r="J8" s="1557"/>
      <c r="K8" s="1557"/>
      <c r="L8" s="1837"/>
      <c r="M8" s="1571"/>
      <c r="N8" s="1843"/>
      <c r="O8" s="1844"/>
      <c r="P8" s="1844"/>
      <c r="Q8" s="1844"/>
      <c r="R8" s="1844"/>
      <c r="S8" s="1844"/>
      <c r="T8" s="1844"/>
      <c r="U8" s="1845"/>
      <c r="V8" s="1839"/>
      <c r="W8" s="1570" t="s">
        <v>349</v>
      </c>
      <c r="X8" s="1565" t="s">
        <v>684</v>
      </c>
      <c r="Y8" s="1565" t="s">
        <v>704</v>
      </c>
      <c r="Z8" s="1570" t="s">
        <v>349</v>
      </c>
      <c r="AA8" s="1565" t="s">
        <v>684</v>
      </c>
      <c r="AB8" s="1565" t="s">
        <v>704</v>
      </c>
      <c r="AC8" s="1566" t="s">
        <v>705</v>
      </c>
      <c r="AD8" s="1560" t="s">
        <v>349</v>
      </c>
      <c r="AE8" s="1565" t="s">
        <v>684</v>
      </c>
      <c r="AF8" s="1565" t="s">
        <v>704</v>
      </c>
      <c r="AG8" s="1566" t="s">
        <v>705</v>
      </c>
      <c r="AI8" s="1550"/>
      <c r="AJ8" s="1551"/>
      <c r="AK8" s="1552"/>
    </row>
    <row r="9" spans="1:37" ht="38.25">
      <c r="A9" s="1555"/>
      <c r="B9" s="1555"/>
      <c r="C9" s="1555"/>
      <c r="D9" s="1555"/>
      <c r="E9" s="1558"/>
      <c r="F9" s="1558"/>
      <c r="G9" s="698"/>
      <c r="H9" s="1558"/>
      <c r="I9" s="1558"/>
      <c r="J9" s="1558"/>
      <c r="K9" s="1558"/>
      <c r="L9" s="1837"/>
      <c r="M9" s="1571"/>
      <c r="N9" s="703" t="s">
        <v>152</v>
      </c>
      <c r="O9" s="492">
        <v>2019</v>
      </c>
      <c r="P9" s="492">
        <v>2020</v>
      </c>
      <c r="Q9" s="492">
        <v>2021</v>
      </c>
      <c r="R9" s="492">
        <v>2022</v>
      </c>
      <c r="S9" s="492">
        <v>2023</v>
      </c>
      <c r="T9" s="492">
        <v>2024</v>
      </c>
      <c r="U9" s="493">
        <v>2025</v>
      </c>
      <c r="V9" s="1839"/>
      <c r="W9" s="1570"/>
      <c r="X9" s="1565"/>
      <c r="Y9" s="1565"/>
      <c r="Z9" s="1570"/>
      <c r="AA9" s="1565"/>
      <c r="AB9" s="1565"/>
      <c r="AC9" s="1566"/>
      <c r="AD9" s="1560"/>
      <c r="AE9" s="1565"/>
      <c r="AF9" s="1565"/>
      <c r="AG9" s="1566"/>
      <c r="AI9" s="700" t="s">
        <v>349</v>
      </c>
      <c r="AJ9" s="699" t="s">
        <v>684</v>
      </c>
      <c r="AK9" s="679" t="s">
        <v>703</v>
      </c>
    </row>
    <row r="10" spans="1:37" s="572" customFormat="1" ht="35.1" hidden="1" customHeight="1">
      <c r="A10" s="559"/>
      <c r="B10" s="576" t="s">
        <v>383</v>
      </c>
      <c r="C10" s="576"/>
      <c r="D10" s="576"/>
      <c r="E10" s="518" t="s">
        <v>608</v>
      </c>
      <c r="F10" s="570"/>
      <c r="G10" s="577"/>
      <c r="H10" s="578"/>
      <c r="I10" s="577"/>
      <c r="J10" s="579"/>
      <c r="K10" s="579"/>
      <c r="L10" s="580"/>
      <c r="M10" s="704"/>
      <c r="N10" s="704"/>
      <c r="O10" s="581"/>
      <c r="P10" s="581"/>
      <c r="Q10" s="581"/>
      <c r="R10" s="581"/>
      <c r="S10" s="581"/>
      <c r="T10" s="581"/>
      <c r="U10" s="582"/>
      <c r="V10" s="582">
        <f>V21+V40+V56</f>
        <v>100</v>
      </c>
      <c r="W10" s="609"/>
      <c r="X10" s="610">
        <f>X21+X40+X56</f>
        <v>2.0031597222222222</v>
      </c>
      <c r="Y10" s="610">
        <f>Y21+Y40+Y56</f>
        <v>11.8291</v>
      </c>
      <c r="Z10" s="609"/>
      <c r="AA10" s="581">
        <f>AA21+AA40+AA56</f>
        <v>14.996886766290725</v>
      </c>
      <c r="AB10" s="581">
        <f>AB21+AB40+AB56</f>
        <v>25.442777443801834</v>
      </c>
      <c r="AC10" s="570"/>
      <c r="AD10" s="625"/>
      <c r="AE10" s="581">
        <f>AE21+AE40+AE56</f>
        <v>2.9077422416666669</v>
      </c>
      <c r="AF10" s="581">
        <f>AF21+AF40+AF56</f>
        <v>7.2822799638888895</v>
      </c>
      <c r="AG10" s="570"/>
      <c r="AI10" s="571"/>
      <c r="AJ10" s="581">
        <f>AJ21+AJ40+AJ56</f>
        <v>19.907788730179615</v>
      </c>
      <c r="AK10" s="610">
        <f>AK21+AK40+AK56</f>
        <v>44.554157407690724</v>
      </c>
    </row>
    <row r="11" spans="1:37" ht="77.45" hidden="1" customHeight="1">
      <c r="A11" s="496">
        <v>1</v>
      </c>
      <c r="B11" s="497" t="s">
        <v>384</v>
      </c>
      <c r="C11" s="497" t="s">
        <v>410</v>
      </c>
      <c r="D11" s="497"/>
      <c r="E11" s="528" t="s">
        <v>610</v>
      </c>
      <c r="F11" s="668"/>
      <c r="G11" s="504"/>
      <c r="H11" s="499" t="s">
        <v>427</v>
      </c>
      <c r="I11" s="499"/>
      <c r="J11" s="390" t="s">
        <v>366</v>
      </c>
      <c r="K11" s="390" t="s">
        <v>229</v>
      </c>
      <c r="L11" s="416" t="s">
        <v>362</v>
      </c>
      <c r="M11" s="706"/>
      <c r="N11" s="705">
        <v>0.15</v>
      </c>
      <c r="O11" s="631"/>
      <c r="P11" s="631"/>
      <c r="Q11" s="631"/>
      <c r="R11" s="631"/>
      <c r="S11" s="631"/>
      <c r="T11" s="631"/>
      <c r="U11" s="502"/>
      <c r="V11" s="502"/>
      <c r="W11" s="603"/>
      <c r="X11" s="500"/>
      <c r="Y11" s="608"/>
      <c r="Z11" s="654"/>
      <c r="AA11" s="657" t="s">
        <v>677</v>
      </c>
      <c r="AB11" s="407"/>
      <c r="AC11" s="397"/>
      <c r="AD11" s="654">
        <f>P11/2</f>
        <v>0</v>
      </c>
      <c r="AE11" s="657" t="s">
        <v>677</v>
      </c>
      <c r="AF11" s="400" t="e">
        <f t="shared" ref="AF11:AF144" si="0">AE11/AD11</f>
        <v>#VALUE!</v>
      </c>
      <c r="AG11" s="397"/>
      <c r="AI11" s="611"/>
      <c r="AJ11" s="612"/>
      <c r="AK11" s="688"/>
    </row>
    <row r="12" spans="1:37" ht="35.1" hidden="1" customHeight="1">
      <c r="A12" s="496"/>
      <c r="B12" s="497" t="s">
        <v>503</v>
      </c>
      <c r="C12" s="497"/>
      <c r="D12" s="497"/>
      <c r="E12" s="529" t="s">
        <v>422</v>
      </c>
      <c r="F12" s="667"/>
      <c r="G12" s="504"/>
      <c r="H12" s="499"/>
      <c r="I12" s="504"/>
      <c r="J12" s="390" t="s">
        <v>366</v>
      </c>
      <c r="K12" s="390" t="s">
        <v>229</v>
      </c>
      <c r="L12" s="416" t="s">
        <v>432</v>
      </c>
      <c r="M12" s="706">
        <v>2.7</v>
      </c>
      <c r="N12" s="706">
        <f>M12+(M12*$N$11)</f>
        <v>3.1050000000000004</v>
      </c>
      <c r="O12" s="631">
        <v>0</v>
      </c>
      <c r="P12" s="631">
        <f>M12</f>
        <v>2.7</v>
      </c>
      <c r="Q12" s="631">
        <f>M12+(N12-M12)/4</f>
        <v>2.8012500000000005</v>
      </c>
      <c r="R12" s="631">
        <f>Q12+(N12-M12)/4</f>
        <v>2.9025000000000007</v>
      </c>
      <c r="S12" s="631">
        <f>R12+(N12-M12)/4</f>
        <v>3.003750000000001</v>
      </c>
      <c r="T12" s="631">
        <f>S12+(N12-M12)/4</f>
        <v>3.1050000000000013</v>
      </c>
      <c r="U12" s="502"/>
      <c r="V12" s="502"/>
      <c r="W12" s="603"/>
      <c r="X12" s="500"/>
      <c r="Y12" s="608"/>
      <c r="Z12" s="654"/>
      <c r="AA12" s="657"/>
      <c r="AB12" s="407"/>
      <c r="AC12" s="397"/>
      <c r="AD12" s="654">
        <f t="shared" ref="AD12:AD20" si="1">Q12/2</f>
        <v>1.4006250000000002</v>
      </c>
      <c r="AE12" s="617"/>
      <c r="AF12" s="400"/>
      <c r="AG12" s="397"/>
      <c r="AI12" s="611"/>
      <c r="AJ12" s="612"/>
      <c r="AK12" s="688"/>
    </row>
    <row r="13" spans="1:37" ht="35.1" hidden="1" customHeight="1">
      <c r="A13" s="496"/>
      <c r="B13" s="497" t="s">
        <v>504</v>
      </c>
      <c r="C13" s="497"/>
      <c r="D13" s="497"/>
      <c r="E13" s="529" t="s">
        <v>423</v>
      </c>
      <c r="F13" s="667"/>
      <c r="G13" s="504"/>
      <c r="H13" s="499"/>
      <c r="I13" s="504"/>
      <c r="J13" s="390" t="s">
        <v>366</v>
      </c>
      <c r="K13" s="390" t="s">
        <v>229</v>
      </c>
      <c r="L13" s="416" t="s">
        <v>432</v>
      </c>
      <c r="M13" s="706">
        <v>4</v>
      </c>
      <c r="N13" s="706">
        <f>M13+(M13*$N$11)</f>
        <v>4.5999999999999996</v>
      </c>
      <c r="O13" s="631">
        <v>0</v>
      </c>
      <c r="P13" s="631">
        <f>M13</f>
        <v>4</v>
      </c>
      <c r="Q13" s="631">
        <f>M13+(N13-M13)/4</f>
        <v>4.1500000000000004</v>
      </c>
      <c r="R13" s="631">
        <f>Q13+(N13-M13)/4</f>
        <v>4.3000000000000007</v>
      </c>
      <c r="S13" s="631">
        <f>R13+(N13-M13)/4</f>
        <v>4.4500000000000011</v>
      </c>
      <c r="T13" s="631">
        <f>S13+(N13-M13)/4</f>
        <v>4.6000000000000014</v>
      </c>
      <c r="U13" s="502"/>
      <c r="V13" s="502"/>
      <c r="W13" s="603"/>
      <c r="X13" s="500"/>
      <c r="Y13" s="608"/>
      <c r="Z13" s="654"/>
      <c r="AA13" s="617"/>
      <c r="AB13" s="407"/>
      <c r="AC13" s="397"/>
      <c r="AD13" s="654">
        <f t="shared" si="1"/>
        <v>2.0750000000000002</v>
      </c>
      <c r="AE13" s="617"/>
      <c r="AF13" s="400"/>
      <c r="AG13" s="397"/>
      <c r="AI13" s="611"/>
      <c r="AJ13" s="612"/>
      <c r="AK13" s="688"/>
    </row>
    <row r="14" spans="1:37" ht="35.1" hidden="1" customHeight="1">
      <c r="A14" s="496"/>
      <c r="B14" s="497" t="s">
        <v>505</v>
      </c>
      <c r="C14" s="497"/>
      <c r="D14" s="497"/>
      <c r="E14" s="529" t="s">
        <v>424</v>
      </c>
      <c r="F14" s="667"/>
      <c r="G14" s="504"/>
      <c r="H14" s="499"/>
      <c r="I14" s="504"/>
      <c r="J14" s="390" t="s">
        <v>366</v>
      </c>
      <c r="K14" s="390" t="s">
        <v>229</v>
      </c>
      <c r="L14" s="416" t="s">
        <v>432</v>
      </c>
      <c r="M14" s="706">
        <v>20</v>
      </c>
      <c r="N14" s="706">
        <f>M14+(M14*$N$11)</f>
        <v>23</v>
      </c>
      <c r="O14" s="631">
        <v>0</v>
      </c>
      <c r="P14" s="631">
        <f>M14</f>
        <v>20</v>
      </c>
      <c r="Q14" s="631">
        <f>M14+(N14-M14)/4</f>
        <v>20.75</v>
      </c>
      <c r="R14" s="631">
        <f>Q14+(N14-M14)/4</f>
        <v>21.5</v>
      </c>
      <c r="S14" s="631">
        <f>R14+(N14-M14)/4</f>
        <v>22.25</v>
      </c>
      <c r="T14" s="631">
        <f>S14+(N14-M14)/4</f>
        <v>23</v>
      </c>
      <c r="U14" s="502"/>
      <c r="V14" s="502"/>
      <c r="W14" s="603"/>
      <c r="X14" s="500"/>
      <c r="Y14" s="608"/>
      <c r="Z14" s="654"/>
      <c r="AA14" s="617"/>
      <c r="AB14" s="407"/>
      <c r="AC14" s="397"/>
      <c r="AD14" s="654">
        <f t="shared" si="1"/>
        <v>10.375</v>
      </c>
      <c r="AE14" s="617"/>
      <c r="AF14" s="400"/>
      <c r="AG14" s="397"/>
      <c r="AI14" s="611"/>
      <c r="AJ14" s="612"/>
      <c r="AK14" s="688"/>
    </row>
    <row r="15" spans="1:37" ht="35.1" hidden="1" customHeight="1">
      <c r="A15" s="496"/>
      <c r="B15" s="497" t="s">
        <v>505</v>
      </c>
      <c r="C15" s="497"/>
      <c r="D15" s="497"/>
      <c r="E15" s="529" t="s">
        <v>425</v>
      </c>
      <c r="F15" s="667"/>
      <c r="G15" s="504"/>
      <c r="H15" s="499"/>
      <c r="I15" s="504"/>
      <c r="J15" s="390" t="s">
        <v>366</v>
      </c>
      <c r="K15" s="390" t="s">
        <v>229</v>
      </c>
      <c r="L15" s="416" t="s">
        <v>432</v>
      </c>
      <c r="M15" s="706">
        <v>15</v>
      </c>
      <c r="N15" s="706">
        <f>M15+(M15*$N$11)</f>
        <v>17.25</v>
      </c>
      <c r="O15" s="631">
        <v>0</v>
      </c>
      <c r="P15" s="631">
        <f>M15</f>
        <v>15</v>
      </c>
      <c r="Q15" s="631">
        <f>M15+(N15-M15)/4</f>
        <v>15.5625</v>
      </c>
      <c r="R15" s="631">
        <f>Q15+(N15-M15)/4</f>
        <v>16.125</v>
      </c>
      <c r="S15" s="631">
        <f>R15+(N15-M15)/4</f>
        <v>16.6875</v>
      </c>
      <c r="T15" s="631">
        <f>S15+(N15-M15)/4</f>
        <v>17.25</v>
      </c>
      <c r="U15" s="502"/>
      <c r="V15" s="502"/>
      <c r="W15" s="603"/>
      <c r="X15" s="500"/>
      <c r="Y15" s="608"/>
      <c r="Z15" s="654"/>
      <c r="AA15" s="617"/>
      <c r="AB15" s="407"/>
      <c r="AC15" s="397"/>
      <c r="AD15" s="654">
        <f t="shared" si="1"/>
        <v>7.78125</v>
      </c>
      <c r="AE15" s="617"/>
      <c r="AF15" s="400"/>
      <c r="AG15" s="397"/>
      <c r="AI15" s="611"/>
      <c r="AJ15" s="612"/>
      <c r="AK15" s="688"/>
    </row>
    <row r="16" spans="1:37" ht="77.45" hidden="1" customHeight="1">
      <c r="A16" s="496">
        <v>2</v>
      </c>
      <c r="B16" s="497" t="s">
        <v>385</v>
      </c>
      <c r="C16" s="497" t="s">
        <v>411</v>
      </c>
      <c r="D16" s="497"/>
      <c r="E16" s="531" t="s">
        <v>381</v>
      </c>
      <c r="F16" s="667" t="s">
        <v>696</v>
      </c>
      <c r="G16" s="504"/>
      <c r="H16" s="499" t="s">
        <v>428</v>
      </c>
      <c r="I16" s="504"/>
      <c r="J16" s="390"/>
      <c r="K16" s="390"/>
      <c r="L16" s="416" t="s">
        <v>352</v>
      </c>
      <c r="M16" s="721">
        <v>0</v>
      </c>
      <c r="N16" s="707">
        <v>240000</v>
      </c>
      <c r="O16" s="505">
        <v>0</v>
      </c>
      <c r="P16" s="505">
        <v>0</v>
      </c>
      <c r="Q16" s="505">
        <v>0</v>
      </c>
      <c r="R16" s="505">
        <v>80000</v>
      </c>
      <c r="S16" s="505">
        <v>80000</v>
      </c>
      <c r="T16" s="505">
        <v>80000</v>
      </c>
      <c r="U16" s="502"/>
      <c r="V16" s="502"/>
      <c r="W16" s="603"/>
      <c r="X16" s="500"/>
      <c r="Y16" s="608"/>
      <c r="Z16" s="654"/>
      <c r="AA16" s="657" t="s">
        <v>677</v>
      </c>
      <c r="AB16" s="407"/>
      <c r="AC16" s="397"/>
      <c r="AD16" s="654">
        <f t="shared" si="1"/>
        <v>0</v>
      </c>
      <c r="AE16" s="657" t="s">
        <v>677</v>
      </c>
      <c r="AF16" s="400" t="e">
        <f t="shared" si="0"/>
        <v>#VALUE!</v>
      </c>
      <c r="AG16" s="397"/>
      <c r="AI16" s="611"/>
      <c r="AJ16" s="612"/>
      <c r="AK16" s="688"/>
    </row>
    <row r="17" spans="1:37" ht="96.75" hidden="1" customHeight="1">
      <c r="A17" s="496">
        <v>3</v>
      </c>
      <c r="B17" s="497" t="s">
        <v>386</v>
      </c>
      <c r="C17" s="497" t="s">
        <v>412</v>
      </c>
      <c r="D17" s="497"/>
      <c r="E17" s="528" t="s">
        <v>382</v>
      </c>
      <c r="F17" s="668"/>
      <c r="G17" s="504"/>
      <c r="H17" s="499" t="s">
        <v>429</v>
      </c>
      <c r="I17" s="504"/>
      <c r="J17" s="390" t="s">
        <v>366</v>
      </c>
      <c r="K17" s="390" t="s">
        <v>229</v>
      </c>
      <c r="L17" s="416" t="s">
        <v>362</v>
      </c>
      <c r="M17" s="721">
        <v>0</v>
      </c>
      <c r="N17" s="707">
        <v>50</v>
      </c>
      <c r="O17" s="505">
        <v>0</v>
      </c>
      <c r="P17" s="505">
        <v>0</v>
      </c>
      <c r="Q17" s="505">
        <v>0</v>
      </c>
      <c r="R17" s="505">
        <v>5</v>
      </c>
      <c r="S17" s="505">
        <v>20</v>
      </c>
      <c r="T17" s="505">
        <v>25</v>
      </c>
      <c r="U17" s="502"/>
      <c r="V17" s="502"/>
      <c r="W17" s="603"/>
      <c r="X17" s="500"/>
      <c r="Y17" s="608"/>
      <c r="Z17" s="654"/>
      <c r="AA17" s="657" t="s">
        <v>677</v>
      </c>
      <c r="AB17" s="407"/>
      <c r="AC17" s="397"/>
      <c r="AD17" s="654">
        <f t="shared" si="1"/>
        <v>0</v>
      </c>
      <c r="AE17" s="657" t="s">
        <v>677</v>
      </c>
      <c r="AF17" s="400" t="e">
        <f t="shared" si="0"/>
        <v>#VALUE!</v>
      </c>
      <c r="AG17" s="397"/>
      <c r="AI17" s="611"/>
      <c r="AJ17" s="612"/>
      <c r="AK17" s="688"/>
    </row>
    <row r="18" spans="1:37" ht="35.1" hidden="1" customHeight="1">
      <c r="A18" s="496"/>
      <c r="B18" s="497" t="s">
        <v>506</v>
      </c>
      <c r="C18" s="497"/>
      <c r="D18" s="497"/>
      <c r="E18" s="529" t="s">
        <v>697</v>
      </c>
      <c r="F18" s="667"/>
      <c r="G18" s="504"/>
      <c r="H18" s="499"/>
      <c r="I18" s="504"/>
      <c r="J18" s="390" t="s">
        <v>366</v>
      </c>
      <c r="K18" s="390" t="s">
        <v>229</v>
      </c>
      <c r="L18" s="416" t="s">
        <v>362</v>
      </c>
      <c r="M18" s="721">
        <v>0</v>
      </c>
      <c r="N18" s="707">
        <v>10</v>
      </c>
      <c r="O18" s="505">
        <v>0</v>
      </c>
      <c r="P18" s="505"/>
      <c r="Q18" s="631">
        <f>M18+(N18-M18)/4</f>
        <v>2.5</v>
      </c>
      <c r="R18" s="631">
        <f>Q18+(N18-M18)/4</f>
        <v>5</v>
      </c>
      <c r="S18" s="631">
        <f>R18+(N18-M18)/4</f>
        <v>7.5</v>
      </c>
      <c r="T18" s="631">
        <f>S18+(N18-M18)/4</f>
        <v>10</v>
      </c>
      <c r="U18" s="502"/>
      <c r="V18" s="502"/>
      <c r="W18" s="603"/>
      <c r="X18" s="500"/>
      <c r="Y18" s="608"/>
      <c r="Z18" s="654"/>
      <c r="AA18" s="617"/>
      <c r="AB18" s="407"/>
      <c r="AC18" s="397"/>
      <c r="AD18" s="654">
        <f t="shared" si="1"/>
        <v>1.25</v>
      </c>
      <c r="AE18" s="617"/>
      <c r="AF18" s="400"/>
      <c r="AG18" s="397"/>
      <c r="AI18" s="611"/>
      <c r="AJ18" s="612"/>
      <c r="AK18" s="688"/>
    </row>
    <row r="19" spans="1:37" ht="35.1" hidden="1" customHeight="1">
      <c r="A19" s="496"/>
      <c r="B19" s="497" t="s">
        <v>507</v>
      </c>
      <c r="C19" s="497"/>
      <c r="D19" s="497"/>
      <c r="E19" s="529" t="s">
        <v>430</v>
      </c>
      <c r="F19" s="667" t="s">
        <v>698</v>
      </c>
      <c r="G19" s="504"/>
      <c r="H19" s="499"/>
      <c r="I19" s="504"/>
      <c r="J19" s="390" t="s">
        <v>366</v>
      </c>
      <c r="K19" s="390" t="s">
        <v>229</v>
      </c>
      <c r="L19" s="416" t="s">
        <v>362</v>
      </c>
      <c r="M19" s="721">
        <v>0</v>
      </c>
      <c r="N19" s="707">
        <v>20</v>
      </c>
      <c r="O19" s="505">
        <v>0</v>
      </c>
      <c r="P19" s="505"/>
      <c r="Q19" s="631">
        <f>M19+(N19-M19)/4</f>
        <v>5</v>
      </c>
      <c r="R19" s="631">
        <f>Q19+(N19-M19)/4</f>
        <v>10</v>
      </c>
      <c r="S19" s="631">
        <f>R19+(N19-M19)/4</f>
        <v>15</v>
      </c>
      <c r="T19" s="631">
        <f>S19+(N19-M19)/4</f>
        <v>20</v>
      </c>
      <c r="U19" s="502"/>
      <c r="V19" s="502"/>
      <c r="W19" s="603"/>
      <c r="X19" s="500"/>
      <c r="Y19" s="608"/>
      <c r="Z19" s="654"/>
      <c r="AA19" s="617"/>
      <c r="AB19" s="407"/>
      <c r="AC19" s="397"/>
      <c r="AD19" s="654">
        <f t="shared" si="1"/>
        <v>2.5</v>
      </c>
      <c r="AE19" s="617"/>
      <c r="AF19" s="400"/>
      <c r="AG19" s="397"/>
      <c r="AI19" s="611"/>
      <c r="AJ19" s="612"/>
      <c r="AK19" s="688"/>
    </row>
    <row r="20" spans="1:37" ht="35.1" hidden="1" customHeight="1">
      <c r="A20" s="496"/>
      <c r="B20" s="497" t="s">
        <v>508</v>
      </c>
      <c r="C20" s="497"/>
      <c r="D20" s="497"/>
      <c r="E20" s="529" t="s">
        <v>431</v>
      </c>
      <c r="F20" s="667"/>
      <c r="G20" s="504"/>
      <c r="H20" s="499"/>
      <c r="I20" s="504"/>
      <c r="J20" s="390" t="s">
        <v>366</v>
      </c>
      <c r="K20" s="390" t="s">
        <v>229</v>
      </c>
      <c r="L20" s="416" t="s">
        <v>362</v>
      </c>
      <c r="M20" s="721">
        <v>0</v>
      </c>
      <c r="N20" s="707">
        <v>10</v>
      </c>
      <c r="O20" s="505">
        <v>0</v>
      </c>
      <c r="P20" s="505"/>
      <c r="Q20" s="631">
        <f>M20+(N20-M20)/4</f>
        <v>2.5</v>
      </c>
      <c r="R20" s="631">
        <f>Q20+(N20-M20)/4</f>
        <v>5</v>
      </c>
      <c r="S20" s="631">
        <f>R20+(N20-M20)/4</f>
        <v>7.5</v>
      </c>
      <c r="T20" s="631">
        <f>S20+(N20-M20)/4</f>
        <v>10</v>
      </c>
      <c r="U20" s="502"/>
      <c r="V20" s="502"/>
      <c r="W20" s="603"/>
      <c r="X20" s="500"/>
      <c r="Y20" s="608"/>
      <c r="Z20" s="654"/>
      <c r="AA20" s="617"/>
      <c r="AB20" s="407"/>
      <c r="AC20" s="397"/>
      <c r="AD20" s="654">
        <f t="shared" si="1"/>
        <v>1.25</v>
      </c>
      <c r="AE20" s="617"/>
      <c r="AF20" s="400"/>
      <c r="AG20" s="397"/>
      <c r="AI20" s="611"/>
      <c r="AJ20" s="612"/>
      <c r="AK20" s="688"/>
    </row>
    <row r="21" spans="1:37" s="572" customFormat="1" ht="35.1" hidden="1" customHeight="1">
      <c r="A21" s="559"/>
      <c r="B21" s="560" t="s">
        <v>387</v>
      </c>
      <c r="C21" s="560"/>
      <c r="D21" s="560"/>
      <c r="E21" s="561" t="s">
        <v>390</v>
      </c>
      <c r="F21" s="562"/>
      <c r="G21" s="563"/>
      <c r="H21" s="564"/>
      <c r="I21" s="563"/>
      <c r="J21" s="565"/>
      <c r="K21" s="565"/>
      <c r="L21" s="566"/>
      <c r="M21" s="722"/>
      <c r="N21" s="708"/>
      <c r="O21" s="567"/>
      <c r="P21" s="567"/>
      <c r="Q21" s="567"/>
      <c r="R21" s="567"/>
      <c r="S21" s="567"/>
      <c r="T21" s="567"/>
      <c r="U21" s="569"/>
      <c r="V21" s="569">
        <f>'DMF PI Links Physical Prog.S1'!Q21</f>
        <v>65</v>
      </c>
      <c r="W21" s="662"/>
      <c r="X21" s="614"/>
      <c r="Y21" s="569">
        <f>'3. DMF Progress'!F17</f>
        <v>7.4775999999999998</v>
      </c>
      <c r="Z21" s="627"/>
      <c r="AA21" s="569">
        <f>'3. DMF Progress'!AI17</f>
        <v>10.142011400793651</v>
      </c>
      <c r="AB21" s="569">
        <f>'3. DMF Progress'!AJ17</f>
        <v>16.523165967193648</v>
      </c>
      <c r="AC21" s="562"/>
      <c r="AD21" s="627"/>
      <c r="AE21" s="686">
        <f>'3. DMF Progress'!AS17</f>
        <v>1.7910672416666669</v>
      </c>
      <c r="AF21" s="686">
        <f>'3. DMF Progress'!AT17</f>
        <v>4.7531049638888891</v>
      </c>
      <c r="AG21" s="562"/>
      <c r="AI21" s="687"/>
      <c r="AJ21" s="689">
        <f>X21+AA21+AE21</f>
        <v>11.933078642460318</v>
      </c>
      <c r="AK21" s="689">
        <f>Y21+AB21+AF21</f>
        <v>28.753870931082538</v>
      </c>
    </row>
    <row r="22" spans="1:37" ht="77.45" hidden="1" customHeight="1">
      <c r="A22" s="496">
        <v>4</v>
      </c>
      <c r="B22" s="497" t="s">
        <v>392</v>
      </c>
      <c r="C22" s="497" t="s">
        <v>416</v>
      </c>
      <c r="D22" s="497"/>
      <c r="E22" s="527" t="s">
        <v>579</v>
      </c>
      <c r="F22" s="668" t="s">
        <v>679</v>
      </c>
      <c r="G22" s="504"/>
      <c r="H22" s="499" t="s">
        <v>660</v>
      </c>
      <c r="I22" s="504"/>
      <c r="J22" s="390" t="s">
        <v>365</v>
      </c>
      <c r="K22" s="390" t="s">
        <v>230</v>
      </c>
      <c r="L22" s="416" t="s">
        <v>435</v>
      </c>
      <c r="M22" s="721">
        <v>0</v>
      </c>
      <c r="N22" s="707">
        <v>27</v>
      </c>
      <c r="O22" s="505">
        <v>0</v>
      </c>
      <c r="P22" s="500">
        <f>'Output 1'!I9</f>
        <v>10</v>
      </c>
      <c r="Q22" s="500">
        <f>'Output 1'!M9</f>
        <v>9</v>
      </c>
      <c r="R22" s="500"/>
      <c r="S22" s="500"/>
      <c r="T22" s="500"/>
      <c r="U22" s="502"/>
      <c r="V22" s="502">
        <f>'DMF PI Links Physical Prog.S1'!Q22</f>
        <v>15</v>
      </c>
      <c r="W22" s="603">
        <f>P22</f>
        <v>10</v>
      </c>
      <c r="X22" s="597">
        <f>'3. DMF Progress'!E9</f>
        <v>10.06</v>
      </c>
      <c r="Y22" s="602">
        <f>'3. DMF Progress'!F9</f>
        <v>1.5090000000000001</v>
      </c>
      <c r="Z22" s="654">
        <f t="shared" ref="Z22:Z28" si="2">Q22/2</f>
        <v>4.5</v>
      </c>
      <c r="AA22" s="685">
        <f>'3. DMF Progress'!P9</f>
        <v>30.667145449735447</v>
      </c>
      <c r="AB22" s="658">
        <f>'3. DMF Progress'!AJ9</f>
        <v>4.600071817460317</v>
      </c>
      <c r="AC22" s="397"/>
      <c r="AD22" s="654">
        <f t="shared" ref="AD22:AD39" si="3">Q22/2</f>
        <v>4.5</v>
      </c>
      <c r="AE22" s="617"/>
      <c r="AF22" s="400">
        <f t="shared" si="0"/>
        <v>0</v>
      </c>
      <c r="AG22" s="397"/>
      <c r="AI22" s="611">
        <f>W22+Z22+AD22</f>
        <v>19</v>
      </c>
      <c r="AJ22" s="612">
        <f>X22+AA22+AE22</f>
        <v>40.727145449735445</v>
      </c>
      <c r="AK22" s="688">
        <f>Y22+AB22+AF22</f>
        <v>6.1090718174603174</v>
      </c>
    </row>
    <row r="23" spans="1:37" ht="35.1" hidden="1" customHeight="1">
      <c r="A23" s="496"/>
      <c r="B23" s="497" t="s">
        <v>479</v>
      </c>
      <c r="C23" s="497"/>
      <c r="D23" s="497"/>
      <c r="E23" s="583" t="s">
        <v>461</v>
      </c>
      <c r="F23" s="667"/>
      <c r="G23" s="504"/>
      <c r="H23" s="499"/>
      <c r="I23" s="504"/>
      <c r="J23" s="390" t="s">
        <v>365</v>
      </c>
      <c r="K23" s="390" t="s">
        <v>230</v>
      </c>
      <c r="L23" s="416" t="s">
        <v>462</v>
      </c>
      <c r="M23" s="721">
        <v>0</v>
      </c>
      <c r="N23" s="707">
        <v>27</v>
      </c>
      <c r="O23" s="505">
        <v>0</v>
      </c>
      <c r="P23" s="500">
        <f>'Output 1'!I9</f>
        <v>10</v>
      </c>
      <c r="Q23" s="500">
        <f>'Output 1'!M9</f>
        <v>9</v>
      </c>
      <c r="R23" s="500">
        <v>8</v>
      </c>
      <c r="S23" s="500"/>
      <c r="T23" s="500"/>
      <c r="U23" s="502"/>
      <c r="V23" s="502"/>
      <c r="W23" s="603">
        <f>'Output 1'!I9</f>
        <v>10</v>
      </c>
      <c r="X23" s="597">
        <f>'Output 1'!J9</f>
        <v>17.1936</v>
      </c>
      <c r="Y23" s="602">
        <f>'3. DMF Progress'!F10</f>
        <v>0.20649999999999999</v>
      </c>
      <c r="Z23" s="654">
        <f t="shared" si="2"/>
        <v>4.5</v>
      </c>
      <c r="AA23" s="617"/>
      <c r="AB23" s="407"/>
      <c r="AC23" s="397"/>
      <c r="AD23" s="654">
        <f t="shared" si="3"/>
        <v>4.5</v>
      </c>
      <c r="AE23" s="617"/>
      <c r="AF23" s="400"/>
      <c r="AG23" s="397"/>
      <c r="AI23" s="611"/>
      <c r="AJ23" s="612"/>
      <c r="AK23" s="613"/>
    </row>
    <row r="24" spans="1:37" ht="35.1" hidden="1" customHeight="1">
      <c r="A24" s="496"/>
      <c r="B24" s="497" t="s">
        <v>480</v>
      </c>
      <c r="C24" s="497"/>
      <c r="D24" s="497"/>
      <c r="E24" s="583" t="s">
        <v>433</v>
      </c>
      <c r="F24" s="667"/>
      <c r="G24" s="504"/>
      <c r="H24" s="499"/>
      <c r="I24" s="504"/>
      <c r="J24" s="390" t="s">
        <v>365</v>
      </c>
      <c r="K24" s="390" t="s">
        <v>230</v>
      </c>
      <c r="L24" s="416" t="s">
        <v>205</v>
      </c>
      <c r="M24" s="721">
        <v>0</v>
      </c>
      <c r="N24" s="707">
        <v>15000</v>
      </c>
      <c r="O24" s="505">
        <v>0</v>
      </c>
      <c r="P24" s="500">
        <f>'Output 1'!I12</f>
        <v>4050</v>
      </c>
      <c r="Q24" s="500">
        <f>'Output 1'!M12</f>
        <v>5333</v>
      </c>
      <c r="R24" s="517">
        <f>N24-(P24+Q24)</f>
        <v>5617</v>
      </c>
      <c r="S24" s="500"/>
      <c r="T24" s="500"/>
      <c r="U24" s="502"/>
      <c r="V24" s="502"/>
      <c r="W24" s="603">
        <f>'Output 1'!I12</f>
        <v>4050</v>
      </c>
      <c r="X24" s="597">
        <f>'Output 1'!J12</f>
        <v>1399.5000000000002</v>
      </c>
      <c r="Y24" s="602">
        <f>'Output 1'!K12</f>
        <v>1.8660000000000001</v>
      </c>
      <c r="Z24" s="654">
        <f t="shared" si="2"/>
        <v>2666.5</v>
      </c>
      <c r="AA24" s="617"/>
      <c r="AB24" s="407"/>
      <c r="AC24" s="397"/>
      <c r="AD24" s="654">
        <f t="shared" si="3"/>
        <v>2666.5</v>
      </c>
      <c r="AE24" s="617"/>
      <c r="AF24" s="400"/>
      <c r="AG24" s="397"/>
      <c r="AI24" s="611"/>
      <c r="AJ24" s="612"/>
      <c r="AK24" s="613"/>
    </row>
    <row r="25" spans="1:37" ht="35.1" hidden="1" customHeight="1">
      <c r="A25" s="496"/>
      <c r="B25" s="497" t="s">
        <v>481</v>
      </c>
      <c r="C25" s="497"/>
      <c r="D25" s="660" t="s">
        <v>672</v>
      </c>
      <c r="E25" s="583" t="s">
        <v>434</v>
      </c>
      <c r="F25" s="667"/>
      <c r="G25" s="504"/>
      <c r="H25" s="499"/>
      <c r="I25" s="504"/>
      <c r="J25" s="390" t="s">
        <v>365</v>
      </c>
      <c r="K25" s="390" t="s">
        <v>230</v>
      </c>
      <c r="L25" s="416" t="s">
        <v>436</v>
      </c>
      <c r="M25" s="721">
        <v>0</v>
      </c>
      <c r="N25" s="707">
        <v>25000</v>
      </c>
      <c r="O25" s="505">
        <v>0</v>
      </c>
      <c r="P25" s="517"/>
      <c r="Q25" s="517"/>
      <c r="R25" s="517"/>
      <c r="S25" s="500"/>
      <c r="T25" s="500"/>
      <c r="U25" s="502"/>
      <c r="V25" s="502"/>
      <c r="W25" s="603"/>
      <c r="X25" s="597"/>
      <c r="Y25" s="602"/>
      <c r="Z25" s="654">
        <f t="shared" si="2"/>
        <v>0</v>
      </c>
      <c r="AA25" s="617"/>
      <c r="AB25" s="407"/>
      <c r="AC25" s="397"/>
      <c r="AD25" s="654">
        <f t="shared" si="3"/>
        <v>0</v>
      </c>
      <c r="AE25" s="617"/>
      <c r="AF25" s="400"/>
      <c r="AG25" s="397"/>
      <c r="AI25" s="611"/>
      <c r="AJ25" s="612"/>
      <c r="AK25" s="613"/>
    </row>
    <row r="26" spans="1:37" ht="77.45" hidden="1" customHeight="1">
      <c r="A26" s="496">
        <v>5</v>
      </c>
      <c r="B26" s="497" t="s">
        <v>393</v>
      </c>
      <c r="C26" s="497" t="s">
        <v>413</v>
      </c>
      <c r="D26" s="497"/>
      <c r="E26" s="528" t="s">
        <v>391</v>
      </c>
      <c r="F26" s="668" t="s">
        <v>679</v>
      </c>
      <c r="G26" s="504"/>
      <c r="H26" s="499" t="s">
        <v>660</v>
      </c>
      <c r="I26" s="504"/>
      <c r="J26" s="390" t="s">
        <v>366</v>
      </c>
      <c r="K26" s="390" t="s">
        <v>229</v>
      </c>
      <c r="L26" s="416" t="s">
        <v>379</v>
      </c>
      <c r="M26" s="721">
        <v>0</v>
      </c>
      <c r="N26" s="707">
        <v>800</v>
      </c>
      <c r="O26" s="505">
        <v>0</v>
      </c>
      <c r="P26" s="505">
        <v>80</v>
      </c>
      <c r="Q26" s="505">
        <v>280</v>
      </c>
      <c r="R26" s="505">
        <v>290</v>
      </c>
      <c r="S26" s="505">
        <v>150</v>
      </c>
      <c r="T26" s="505">
        <v>0</v>
      </c>
      <c r="U26" s="502"/>
      <c r="V26" s="502">
        <f>'DMF PI Links Physical Prog.S1'!Q26</f>
        <v>5</v>
      </c>
      <c r="W26" s="603"/>
      <c r="X26" s="597">
        <f>'3. DMF Progress'!E10</f>
        <v>4.13</v>
      </c>
      <c r="Y26" s="602">
        <f>'3. DMF Progress'!F10</f>
        <v>0.20649999999999999</v>
      </c>
      <c r="Z26" s="654">
        <f t="shared" si="2"/>
        <v>140</v>
      </c>
      <c r="AA26" s="685">
        <f>'3. DMF Progress'!P10</f>
        <v>1.125</v>
      </c>
      <c r="AB26" s="658">
        <f>'3. DMF Progress'!AJ10</f>
        <v>5.6249999999999994E-2</v>
      </c>
      <c r="AC26" s="397"/>
      <c r="AD26" s="654">
        <f t="shared" si="3"/>
        <v>140</v>
      </c>
      <c r="AE26" s="617"/>
      <c r="AF26" s="400">
        <f t="shared" si="0"/>
        <v>0</v>
      </c>
      <c r="AG26" s="397"/>
      <c r="AI26" s="611">
        <f t="shared" ref="AI26:AK29" si="4">W26+Z26+AD26</f>
        <v>280</v>
      </c>
      <c r="AJ26" s="612">
        <f t="shared" si="4"/>
        <v>5.2549999999999999</v>
      </c>
      <c r="AK26" s="688">
        <f t="shared" si="4"/>
        <v>0.26274999999999998</v>
      </c>
    </row>
    <row r="27" spans="1:37" ht="77.45" hidden="1" customHeight="1">
      <c r="A27" s="496">
        <v>6</v>
      </c>
      <c r="B27" s="497" t="s">
        <v>394</v>
      </c>
      <c r="C27" s="497" t="s">
        <v>414</v>
      </c>
      <c r="D27" s="497"/>
      <c r="E27" s="531" t="s">
        <v>683</v>
      </c>
      <c r="F27" s="668" t="s">
        <v>679</v>
      </c>
      <c r="G27" s="504"/>
      <c r="H27" s="499" t="s">
        <v>455</v>
      </c>
      <c r="I27" s="504"/>
      <c r="J27" s="390" t="s">
        <v>365</v>
      </c>
      <c r="K27" s="390" t="s">
        <v>231</v>
      </c>
      <c r="L27" s="416" t="s">
        <v>378</v>
      </c>
      <c r="M27" s="721">
        <v>0</v>
      </c>
      <c r="N27" s="707">
        <v>250</v>
      </c>
      <c r="O27" s="505">
        <v>0</v>
      </c>
      <c r="P27" s="505">
        <f>'Output 1'!I23</f>
        <v>67.95</v>
      </c>
      <c r="Q27" s="505">
        <f>'Output 1'!M23</f>
        <v>100.1</v>
      </c>
      <c r="R27" s="505">
        <f>N27-(O27+P27+Q27)</f>
        <v>81.949999999999989</v>
      </c>
      <c r="S27" s="505"/>
      <c r="T27" s="505"/>
      <c r="U27" s="502"/>
      <c r="V27" s="502">
        <f>'DMF PI Links Physical Prog.S1'!Q27</f>
        <v>15</v>
      </c>
      <c r="W27" s="603"/>
      <c r="X27" s="597">
        <f>'3. DMF Progress'!E11</f>
        <v>14.05</v>
      </c>
      <c r="Y27" s="602">
        <f>'3. DMF Progress'!F11</f>
        <v>2.1074999999999999</v>
      </c>
      <c r="Z27" s="654">
        <f t="shared" si="2"/>
        <v>50.05</v>
      </c>
      <c r="AA27" s="685">
        <f>'3. DMF Progress'!P11</f>
        <v>25.402819999999998</v>
      </c>
      <c r="AB27" s="658">
        <f>'3. DMF Progress'!AJ11</f>
        <v>3.8104230000000001</v>
      </c>
      <c r="AC27" s="397"/>
      <c r="AD27" s="654">
        <f t="shared" si="3"/>
        <v>50.05</v>
      </c>
      <c r="AE27" s="617"/>
      <c r="AF27" s="400">
        <f t="shared" si="0"/>
        <v>0</v>
      </c>
      <c r="AG27" s="397"/>
      <c r="AI27" s="611">
        <f t="shared" si="4"/>
        <v>100.1</v>
      </c>
      <c r="AJ27" s="612">
        <f t="shared" si="4"/>
        <v>39.452820000000003</v>
      </c>
      <c r="AK27" s="688">
        <f t="shared" si="4"/>
        <v>5.917923</v>
      </c>
    </row>
    <row r="28" spans="1:37" ht="77.45" hidden="1" customHeight="1">
      <c r="A28" s="496">
        <v>7</v>
      </c>
      <c r="B28" s="497" t="s">
        <v>395</v>
      </c>
      <c r="C28" s="497" t="s">
        <v>415</v>
      </c>
      <c r="D28" s="497"/>
      <c r="E28" s="528" t="s">
        <v>611</v>
      </c>
      <c r="F28" s="668" t="s">
        <v>679</v>
      </c>
      <c r="G28" s="504" t="s">
        <v>519</v>
      </c>
      <c r="H28" s="499" t="s">
        <v>660</v>
      </c>
      <c r="I28" s="504"/>
      <c r="J28" s="390" t="s">
        <v>366</v>
      </c>
      <c r="K28" s="390" t="s">
        <v>229</v>
      </c>
      <c r="L28" s="416" t="s">
        <v>437</v>
      </c>
      <c r="M28" s="707">
        <v>5</v>
      </c>
      <c r="N28" s="707">
        <v>80</v>
      </c>
      <c r="O28" s="505">
        <v>0</v>
      </c>
      <c r="P28" s="505">
        <v>20</v>
      </c>
      <c r="Q28" s="505">
        <v>35</v>
      </c>
      <c r="R28" s="505">
        <v>25</v>
      </c>
      <c r="S28" s="505">
        <v>0</v>
      </c>
      <c r="T28" s="505">
        <v>0</v>
      </c>
      <c r="U28" s="502"/>
      <c r="V28" s="502">
        <f>'DMF PI Links Physical Prog.S1'!Q28</f>
        <v>15</v>
      </c>
      <c r="W28" s="603"/>
      <c r="X28" s="597">
        <f>'3. DMF Progress'!E12</f>
        <v>15.06</v>
      </c>
      <c r="Y28" s="602">
        <f>'3. DMF Progress'!F12</f>
        <v>2.2589999999999999</v>
      </c>
      <c r="Z28" s="654">
        <f t="shared" si="2"/>
        <v>17.5</v>
      </c>
      <c r="AA28" s="685">
        <f>'3. DMF Progress'!P12</f>
        <v>39.865625000000001</v>
      </c>
      <c r="AB28" s="658">
        <f>'3. DMF Progress'!AJ12</f>
        <v>5.9798437499999997</v>
      </c>
      <c r="AC28" s="397"/>
      <c r="AD28" s="654">
        <f t="shared" si="3"/>
        <v>17.5</v>
      </c>
      <c r="AE28" s="617"/>
      <c r="AF28" s="400">
        <f t="shared" si="0"/>
        <v>0</v>
      </c>
      <c r="AG28" s="397"/>
      <c r="AI28" s="611">
        <f t="shared" si="4"/>
        <v>35</v>
      </c>
      <c r="AJ28" s="612">
        <f t="shared" si="4"/>
        <v>54.925625000000004</v>
      </c>
      <c r="AK28" s="688">
        <f t="shared" si="4"/>
        <v>8.2388437499999991</v>
      </c>
    </row>
    <row r="29" spans="1:37" ht="99.6" hidden="1" customHeight="1">
      <c r="A29" s="496">
        <v>8</v>
      </c>
      <c r="B29" s="497" t="s">
        <v>396</v>
      </c>
      <c r="C29" s="497" t="s">
        <v>417</v>
      </c>
      <c r="D29" s="497"/>
      <c r="E29" s="528" t="s">
        <v>612</v>
      </c>
      <c r="F29" s="668" t="s">
        <v>679</v>
      </c>
      <c r="G29" s="504" t="s">
        <v>520</v>
      </c>
      <c r="H29" s="499" t="s">
        <v>660</v>
      </c>
      <c r="I29" s="504"/>
      <c r="J29" s="390" t="s">
        <v>366</v>
      </c>
      <c r="K29" s="390" t="s">
        <v>229</v>
      </c>
      <c r="L29" s="416"/>
      <c r="M29" s="721"/>
      <c r="N29" s="707"/>
      <c r="O29" s="505"/>
      <c r="P29" s="505"/>
      <c r="Q29" s="505"/>
      <c r="R29" s="505"/>
      <c r="S29" s="505"/>
      <c r="T29" s="505"/>
      <c r="U29" s="502"/>
      <c r="V29" s="502">
        <f>'DMF PI Links Physical Prog.S1'!Q29</f>
        <v>5</v>
      </c>
      <c r="W29" s="603"/>
      <c r="X29" s="597">
        <f>'3. DMF Progress'!E13</f>
        <v>16</v>
      </c>
      <c r="Y29" s="602">
        <f>'3. DMF Progress'!F13</f>
        <v>0.8</v>
      </c>
      <c r="Z29" s="654"/>
      <c r="AA29" s="685">
        <f>'3. DMF Progress'!P13</f>
        <v>23.4</v>
      </c>
      <c r="AB29" s="658">
        <f>'3. DMF Progress'!AJ13</f>
        <v>1.17</v>
      </c>
      <c r="AC29" s="397"/>
      <c r="AD29" s="654">
        <f t="shared" si="3"/>
        <v>0</v>
      </c>
      <c r="AE29" s="617"/>
      <c r="AF29" s="400" t="e">
        <f t="shared" si="0"/>
        <v>#DIV/0!</v>
      </c>
      <c r="AG29" s="397"/>
      <c r="AI29" s="611">
        <f t="shared" si="4"/>
        <v>0</v>
      </c>
      <c r="AJ29" s="612">
        <f t="shared" si="4"/>
        <v>39.4</v>
      </c>
      <c r="AK29" s="688" t="e">
        <f t="shared" si="4"/>
        <v>#DIV/0!</v>
      </c>
    </row>
    <row r="30" spans="1:37" ht="53.25" hidden="1" customHeight="1">
      <c r="A30" s="496"/>
      <c r="B30" s="497" t="s">
        <v>482</v>
      </c>
      <c r="C30" s="497"/>
      <c r="D30" s="497"/>
      <c r="E30" s="529" t="s">
        <v>438</v>
      </c>
      <c r="F30" s="667"/>
      <c r="G30" s="504"/>
      <c r="H30" s="499" t="s">
        <v>660</v>
      </c>
      <c r="I30" s="504"/>
      <c r="J30" s="390" t="s">
        <v>366</v>
      </c>
      <c r="K30" s="390" t="s">
        <v>229</v>
      </c>
      <c r="L30" s="416" t="s">
        <v>440</v>
      </c>
      <c r="M30" s="707">
        <v>700</v>
      </c>
      <c r="N30" s="707">
        <v>1500</v>
      </c>
      <c r="O30" s="505">
        <v>0</v>
      </c>
      <c r="P30" s="505">
        <v>0</v>
      </c>
      <c r="Q30" s="505">
        <v>0</v>
      </c>
      <c r="R30" s="505">
        <f>$M$30+200</f>
        <v>900</v>
      </c>
      <c r="S30" s="505">
        <f>R30+200</f>
        <v>1100</v>
      </c>
      <c r="T30" s="505">
        <f>S30+400</f>
        <v>1500</v>
      </c>
      <c r="U30" s="502"/>
      <c r="V30" s="502"/>
      <c r="W30" s="603"/>
      <c r="X30" s="597"/>
      <c r="Y30" s="602"/>
      <c r="Z30" s="654">
        <f>Q30/2</f>
        <v>0</v>
      </c>
      <c r="AA30" s="617"/>
      <c r="AB30" s="407"/>
      <c r="AC30" s="397"/>
      <c r="AD30" s="654">
        <f t="shared" si="3"/>
        <v>0</v>
      </c>
      <c r="AE30" s="617"/>
      <c r="AF30" s="400"/>
      <c r="AG30" s="397"/>
      <c r="AI30" s="611"/>
      <c r="AJ30" s="612"/>
      <c r="AK30" s="613"/>
    </row>
    <row r="31" spans="1:37" ht="64.5" hidden="1" customHeight="1">
      <c r="A31" s="496"/>
      <c r="B31" s="497" t="s">
        <v>483</v>
      </c>
      <c r="C31" s="497"/>
      <c r="D31" s="497"/>
      <c r="E31" s="529" t="s">
        <v>439</v>
      </c>
      <c r="F31" s="667"/>
      <c r="G31" s="504"/>
      <c r="H31" s="499" t="s">
        <v>660</v>
      </c>
      <c r="I31" s="504"/>
      <c r="J31" s="390" t="s">
        <v>366</v>
      </c>
      <c r="K31" s="390" t="s">
        <v>229</v>
      </c>
      <c r="L31" s="416" t="s">
        <v>354</v>
      </c>
      <c r="M31" s="721">
        <v>0</v>
      </c>
      <c r="N31" s="707">
        <v>75000</v>
      </c>
      <c r="O31" s="505">
        <v>0</v>
      </c>
      <c r="P31" s="505">
        <v>0</v>
      </c>
      <c r="Q31" s="505">
        <v>0</v>
      </c>
      <c r="R31" s="505">
        <f>$N$31/$N$30*R30</f>
        <v>45000</v>
      </c>
      <c r="S31" s="505">
        <f t="shared" ref="S31:T31" si="5">$N$31/$N$30*S30</f>
        <v>55000</v>
      </c>
      <c r="T31" s="505">
        <f t="shared" si="5"/>
        <v>75000</v>
      </c>
      <c r="U31" s="502"/>
      <c r="V31" s="502"/>
      <c r="W31" s="603"/>
      <c r="X31" s="597"/>
      <c r="Y31" s="602"/>
      <c r="Z31" s="654">
        <f>Q31/2</f>
        <v>0</v>
      </c>
      <c r="AA31" s="617"/>
      <c r="AB31" s="407"/>
      <c r="AC31" s="397"/>
      <c r="AD31" s="654">
        <f t="shared" si="3"/>
        <v>0</v>
      </c>
      <c r="AE31" s="617"/>
      <c r="AF31" s="400"/>
      <c r="AG31" s="397"/>
      <c r="AI31" s="611"/>
      <c r="AJ31" s="612"/>
      <c r="AK31" s="613"/>
    </row>
    <row r="32" spans="1:37" ht="111" hidden="1" customHeight="1">
      <c r="A32" s="496">
        <v>9</v>
      </c>
      <c r="B32" s="497" t="s">
        <v>397</v>
      </c>
      <c r="C32" s="497" t="s">
        <v>418</v>
      </c>
      <c r="D32" s="497"/>
      <c r="E32" s="659" t="s">
        <v>459</v>
      </c>
      <c r="F32" s="668" t="s">
        <v>679</v>
      </c>
      <c r="G32" s="504" t="s">
        <v>521</v>
      </c>
      <c r="H32" s="499" t="s">
        <v>660</v>
      </c>
      <c r="I32" s="504"/>
      <c r="J32" s="390" t="s">
        <v>366</v>
      </c>
      <c r="K32" s="390" t="s">
        <v>229</v>
      </c>
      <c r="L32" s="416"/>
      <c r="M32" s="706"/>
      <c r="N32" s="707"/>
      <c r="O32" s="640"/>
      <c r="P32" s="640"/>
      <c r="Q32" s="640"/>
      <c r="R32" s="640"/>
      <c r="S32" s="640"/>
      <c r="T32" s="640"/>
      <c r="U32" s="502"/>
      <c r="V32" s="502"/>
      <c r="W32" s="603"/>
      <c r="X32" s="597"/>
      <c r="Y32" s="602"/>
      <c r="Z32" s="655"/>
      <c r="AA32" s="617"/>
      <c r="AB32" s="658">
        <f>(AB33+AB35+AB37)</f>
        <v>0.90657739973333329</v>
      </c>
      <c r="AC32" s="397"/>
      <c r="AD32" s="654">
        <f t="shared" si="3"/>
        <v>0</v>
      </c>
      <c r="AE32" s="617"/>
      <c r="AF32" s="400" t="e">
        <f t="shared" si="0"/>
        <v>#DIV/0!</v>
      </c>
      <c r="AG32" s="397"/>
      <c r="AI32" s="611"/>
      <c r="AJ32" s="612"/>
      <c r="AK32" s="613"/>
    </row>
    <row r="33" spans="1:37" ht="35.1" hidden="1" customHeight="1">
      <c r="A33" s="496"/>
      <c r="B33" s="497" t="s">
        <v>484</v>
      </c>
      <c r="C33" s="497" t="s">
        <v>510</v>
      </c>
      <c r="D33" s="497"/>
      <c r="E33" s="529" t="s">
        <v>614</v>
      </c>
      <c r="F33" s="667"/>
      <c r="G33" s="504"/>
      <c r="H33" s="497" t="s">
        <v>474</v>
      </c>
      <c r="I33" s="504"/>
      <c r="J33" s="390" t="s">
        <v>366</v>
      </c>
      <c r="K33" s="390" t="s">
        <v>229</v>
      </c>
      <c r="L33" s="416" t="s">
        <v>441</v>
      </c>
      <c r="M33" s="508" t="s">
        <v>515</v>
      </c>
      <c r="N33" s="707">
        <v>12000</v>
      </c>
      <c r="O33" s="505">
        <v>0</v>
      </c>
      <c r="P33" s="505">
        <v>500</v>
      </c>
      <c r="Q33" s="505">
        <v>2500</v>
      </c>
      <c r="R33" s="505">
        <v>4000</v>
      </c>
      <c r="S33" s="505">
        <v>3500</v>
      </c>
      <c r="T33" s="505">
        <v>1500</v>
      </c>
      <c r="U33" s="502"/>
      <c r="V33" s="502">
        <f>'DMF PI Links Physical Prog.S1'!Q33</f>
        <v>4</v>
      </c>
      <c r="W33" s="603"/>
      <c r="X33" s="597">
        <f>'3. DMF Progress'!E14</f>
        <v>7.07</v>
      </c>
      <c r="Y33" s="602">
        <f>'3. DMF Progress'!F14</f>
        <v>0.2828</v>
      </c>
      <c r="Z33" s="654">
        <f t="shared" ref="Z33:Z39" si="6">Q33/2</f>
        <v>1250</v>
      </c>
      <c r="AA33" s="685">
        <f>'3. DMF Progress'!P14</f>
        <v>3.6730558266666664</v>
      </c>
      <c r="AB33" s="658">
        <f>'3. DMF Progress'!AJ14</f>
        <v>0.14692223306666666</v>
      </c>
      <c r="AC33" s="397"/>
      <c r="AD33" s="654">
        <f t="shared" si="3"/>
        <v>1250</v>
      </c>
      <c r="AE33" s="617"/>
      <c r="AF33" s="400"/>
      <c r="AG33" s="397"/>
      <c r="AI33" s="611">
        <f>W33+Z33+AD33</f>
        <v>2500</v>
      </c>
      <c r="AJ33" s="612">
        <f>X33+AA33+AE33</f>
        <v>10.743055826666666</v>
      </c>
      <c r="AK33" s="688">
        <f>Y33+AB33+AF33</f>
        <v>0.42972223306666668</v>
      </c>
    </row>
    <row r="34" spans="1:37" ht="35.1" hidden="1" customHeight="1">
      <c r="A34" s="496"/>
      <c r="B34" s="497"/>
      <c r="C34" s="497"/>
      <c r="D34" s="497"/>
      <c r="E34" s="529" t="s">
        <v>615</v>
      </c>
      <c r="F34" s="667"/>
      <c r="G34" s="504"/>
      <c r="H34" s="499"/>
      <c r="I34" s="504"/>
      <c r="J34" s="390" t="s">
        <v>366</v>
      </c>
      <c r="K34" s="390" t="s">
        <v>229</v>
      </c>
      <c r="L34" s="416" t="s">
        <v>134</v>
      </c>
      <c r="M34" s="707">
        <v>11468</v>
      </c>
      <c r="N34" s="707">
        <v>80000</v>
      </c>
      <c r="O34" s="505">
        <v>0</v>
      </c>
      <c r="P34" s="505">
        <f>($N$34/$N$33)*P33</f>
        <v>3333.3333333333335</v>
      </c>
      <c r="Q34" s="505">
        <f t="shared" ref="Q34:T34" si="7">($N$34/$N$33)*Q33</f>
        <v>16666.666666666668</v>
      </c>
      <c r="R34" s="505">
        <f t="shared" si="7"/>
        <v>26666.666666666668</v>
      </c>
      <c r="S34" s="505">
        <f t="shared" si="7"/>
        <v>23333.333333333336</v>
      </c>
      <c r="T34" s="505">
        <f t="shared" si="7"/>
        <v>10000</v>
      </c>
      <c r="U34" s="502"/>
      <c r="V34" s="502"/>
      <c r="W34" s="603"/>
      <c r="X34" s="597"/>
      <c r="Y34" s="602"/>
      <c r="Z34" s="654">
        <f t="shared" si="6"/>
        <v>8333.3333333333339</v>
      </c>
      <c r="AA34" s="617"/>
      <c r="AB34" s="407"/>
      <c r="AC34" s="397"/>
      <c r="AD34" s="654">
        <f t="shared" si="3"/>
        <v>8333.3333333333339</v>
      </c>
      <c r="AE34" s="617"/>
      <c r="AF34" s="400"/>
      <c r="AG34" s="397"/>
      <c r="AI34" s="611"/>
      <c r="AJ34" s="612"/>
      <c r="AK34" s="613"/>
    </row>
    <row r="35" spans="1:37" ht="33" hidden="1" customHeight="1">
      <c r="A35" s="496"/>
      <c r="B35" s="497" t="s">
        <v>485</v>
      </c>
      <c r="C35" s="497" t="s">
        <v>511</v>
      </c>
      <c r="D35" s="497"/>
      <c r="E35" s="583" t="s">
        <v>616</v>
      </c>
      <c r="F35" s="667"/>
      <c r="G35" s="504"/>
      <c r="H35" s="497" t="s">
        <v>474</v>
      </c>
      <c r="I35" s="504"/>
      <c r="J35" s="390" t="s">
        <v>366</v>
      </c>
      <c r="K35" s="390" t="s">
        <v>229</v>
      </c>
      <c r="L35" s="416" t="s">
        <v>173</v>
      </c>
      <c r="M35" s="508" t="s">
        <v>515</v>
      </c>
      <c r="N35" s="707">
        <v>6000</v>
      </c>
      <c r="O35" s="505">
        <v>0</v>
      </c>
      <c r="P35" s="505">
        <v>250</v>
      </c>
      <c r="Q35" s="505">
        <v>1250</v>
      </c>
      <c r="R35" s="505">
        <v>1600</v>
      </c>
      <c r="S35" s="505">
        <v>1600</v>
      </c>
      <c r="T35" s="505">
        <v>1300</v>
      </c>
      <c r="U35" s="502"/>
      <c r="V35" s="502">
        <f>'DMF PI Links Physical Prog.S1'!Q35</f>
        <v>4</v>
      </c>
      <c r="W35" s="603"/>
      <c r="X35" s="597">
        <f>'3. DMF Progress'!E15</f>
        <v>7.47</v>
      </c>
      <c r="Y35" s="602">
        <f>'3. DMF Progress'!F15</f>
        <v>0.29880000000000001</v>
      </c>
      <c r="Z35" s="654">
        <f t="shared" si="6"/>
        <v>625</v>
      </c>
      <c r="AA35" s="685">
        <f>'3. DMF Progress'!P15</f>
        <v>4.8481591666666661</v>
      </c>
      <c r="AB35" s="658">
        <f>'3. DMF Progress'!AJ15</f>
        <v>0.19392636666666666</v>
      </c>
      <c r="AC35" s="397"/>
      <c r="AD35" s="654">
        <f t="shared" si="3"/>
        <v>625</v>
      </c>
      <c r="AE35" s="617"/>
      <c r="AF35" s="400"/>
      <c r="AG35" s="397"/>
      <c r="AI35" s="611">
        <f>W35+Z35+AD35</f>
        <v>1250</v>
      </c>
      <c r="AJ35" s="612">
        <f>X35+AA35+AE35</f>
        <v>12.318159166666666</v>
      </c>
      <c r="AK35" s="688">
        <f>Y35+AB35+AF35</f>
        <v>0.49272636666666669</v>
      </c>
    </row>
    <row r="36" spans="1:37" ht="33" hidden="1" customHeight="1">
      <c r="A36" s="496"/>
      <c r="B36" s="497"/>
      <c r="C36" s="497"/>
      <c r="D36" s="660" t="s">
        <v>672</v>
      </c>
      <c r="E36" s="583" t="s">
        <v>617</v>
      </c>
      <c r="F36" s="667"/>
      <c r="G36" s="504"/>
      <c r="H36" s="499"/>
      <c r="I36" s="504"/>
      <c r="J36" s="390" t="s">
        <v>366</v>
      </c>
      <c r="K36" s="390" t="s">
        <v>229</v>
      </c>
      <c r="L36" s="416" t="s">
        <v>134</v>
      </c>
      <c r="M36" s="707">
        <v>11468</v>
      </c>
      <c r="N36" s="707">
        <v>20000</v>
      </c>
      <c r="O36" s="505">
        <v>0</v>
      </c>
      <c r="P36" s="505">
        <f>($N$36/$N$35)*P35</f>
        <v>833.33333333333337</v>
      </c>
      <c r="Q36" s="505">
        <f t="shared" ref="Q36:T36" si="8">($N$36/$N$35)*Q35</f>
        <v>4166.666666666667</v>
      </c>
      <c r="R36" s="505">
        <f t="shared" si="8"/>
        <v>5333.3333333333339</v>
      </c>
      <c r="S36" s="505">
        <f t="shared" si="8"/>
        <v>5333.3333333333339</v>
      </c>
      <c r="T36" s="505">
        <f t="shared" si="8"/>
        <v>4333.3333333333339</v>
      </c>
      <c r="U36" s="502"/>
      <c r="V36" s="502"/>
      <c r="W36" s="603"/>
      <c r="X36" s="597"/>
      <c r="Y36" s="602"/>
      <c r="Z36" s="654">
        <f t="shared" si="6"/>
        <v>2083.3333333333335</v>
      </c>
      <c r="AA36" s="617"/>
      <c r="AB36" s="407"/>
      <c r="AC36" s="397"/>
      <c r="AD36" s="654">
        <f t="shared" si="3"/>
        <v>2083.3333333333335</v>
      </c>
      <c r="AE36" s="617"/>
      <c r="AF36" s="400"/>
      <c r="AG36" s="397"/>
      <c r="AI36" s="611"/>
      <c r="AJ36" s="612"/>
      <c r="AK36" s="613"/>
    </row>
    <row r="37" spans="1:37" ht="66" hidden="1" customHeight="1">
      <c r="A37" s="496"/>
      <c r="B37" s="497" t="s">
        <v>486</v>
      </c>
      <c r="C37" s="497" t="s">
        <v>512</v>
      </c>
      <c r="D37" s="497"/>
      <c r="E37" s="507" t="s">
        <v>630</v>
      </c>
      <c r="F37" s="668"/>
      <c r="G37" s="498" t="s">
        <v>521</v>
      </c>
      <c r="H37" s="497" t="s">
        <v>474</v>
      </c>
      <c r="I37" s="504"/>
      <c r="J37" s="390" t="s">
        <v>366</v>
      </c>
      <c r="K37" s="390" t="s">
        <v>229</v>
      </c>
      <c r="L37" s="416"/>
      <c r="M37" s="508" t="s">
        <v>515</v>
      </c>
      <c r="N37" s="707">
        <v>40000</v>
      </c>
      <c r="O37" s="640">
        <f>SUM(O38:O39)</f>
        <v>0</v>
      </c>
      <c r="P37" s="640">
        <v>2500</v>
      </c>
      <c r="Q37" s="640">
        <v>10000</v>
      </c>
      <c r="R37" s="640">
        <v>9500</v>
      </c>
      <c r="S37" s="640">
        <v>9000</v>
      </c>
      <c r="T37" s="640">
        <v>9000</v>
      </c>
      <c r="U37" s="502"/>
      <c r="V37" s="502">
        <f>'DMF PI Links Physical Prog.S1'!Q37</f>
        <v>2</v>
      </c>
      <c r="W37" s="603"/>
      <c r="X37" s="597">
        <f>'3. DMF Progress'!E16</f>
        <v>0.7</v>
      </c>
      <c r="Y37" s="602">
        <f>'3. DMF Progress'!F16</f>
        <v>1.3999999999999999E-2</v>
      </c>
      <c r="Z37" s="654">
        <f t="shared" si="6"/>
        <v>5000</v>
      </c>
      <c r="AA37" s="685">
        <f>'3. DMF Progress'!P16</f>
        <v>28.286440000000002</v>
      </c>
      <c r="AB37" s="658">
        <f>'3. DMF Progress'!AJ16</f>
        <v>0.56572880000000003</v>
      </c>
      <c r="AC37" s="397"/>
      <c r="AD37" s="654">
        <f t="shared" si="3"/>
        <v>5000</v>
      </c>
      <c r="AE37" s="617"/>
      <c r="AF37" s="400"/>
      <c r="AG37" s="397"/>
      <c r="AI37" s="611">
        <f>W37+Z37+AD37</f>
        <v>10000</v>
      </c>
      <c r="AJ37" s="612">
        <f>X37+AA37+AE37</f>
        <v>28.986440000000002</v>
      </c>
      <c r="AK37" s="688">
        <f>Y37+AB37+AF37</f>
        <v>0.57972880000000004</v>
      </c>
    </row>
    <row r="38" spans="1:37" ht="73.5" hidden="1" customHeight="1">
      <c r="A38" s="496"/>
      <c r="B38" s="497" t="s">
        <v>486</v>
      </c>
      <c r="C38" s="497" t="s">
        <v>513</v>
      </c>
      <c r="D38" s="660" t="s">
        <v>672</v>
      </c>
      <c r="E38" s="529" t="s">
        <v>628</v>
      </c>
      <c r="F38" s="667"/>
      <c r="G38" s="504"/>
      <c r="H38" s="499"/>
      <c r="I38" s="504"/>
      <c r="J38" s="390" t="s">
        <v>366</v>
      </c>
      <c r="K38" s="390" t="s">
        <v>229</v>
      </c>
      <c r="L38" s="416" t="s">
        <v>134</v>
      </c>
      <c r="M38" s="707">
        <v>11468</v>
      </c>
      <c r="N38" s="707">
        <v>20000</v>
      </c>
      <c r="O38" s="505">
        <v>0</v>
      </c>
      <c r="P38" s="505">
        <f>P37/2</f>
        <v>1250</v>
      </c>
      <c r="Q38" s="505">
        <f t="shared" ref="Q38:T38" si="9">Q37/2</f>
        <v>5000</v>
      </c>
      <c r="R38" s="505">
        <f t="shared" si="9"/>
        <v>4750</v>
      </c>
      <c r="S38" s="505">
        <f t="shared" si="9"/>
        <v>4500</v>
      </c>
      <c r="T38" s="505">
        <f t="shared" si="9"/>
        <v>4500</v>
      </c>
      <c r="U38" s="502"/>
      <c r="V38" s="502"/>
      <c r="W38" s="603"/>
      <c r="X38" s="597"/>
      <c r="Y38" s="602"/>
      <c r="Z38" s="654">
        <f t="shared" si="6"/>
        <v>2500</v>
      </c>
      <c r="AA38" s="617"/>
      <c r="AB38" s="407"/>
      <c r="AC38" s="397"/>
      <c r="AD38" s="654">
        <f t="shared" si="3"/>
        <v>2500</v>
      </c>
      <c r="AE38" s="617"/>
      <c r="AF38" s="400"/>
      <c r="AG38" s="397"/>
      <c r="AI38" s="611"/>
      <c r="AJ38" s="612"/>
      <c r="AK38" s="613"/>
    </row>
    <row r="39" spans="1:37" ht="66.75" hidden="1" customHeight="1">
      <c r="A39" s="496"/>
      <c r="B39" s="497" t="s">
        <v>487</v>
      </c>
      <c r="C39" s="497" t="s">
        <v>514</v>
      </c>
      <c r="D39" s="660" t="s">
        <v>672</v>
      </c>
      <c r="E39" s="529" t="s">
        <v>629</v>
      </c>
      <c r="F39" s="667"/>
      <c r="G39" s="504"/>
      <c r="H39" s="499"/>
      <c r="I39" s="504"/>
      <c r="J39" s="390" t="s">
        <v>366</v>
      </c>
      <c r="K39" s="390" t="s">
        <v>229</v>
      </c>
      <c r="L39" s="416" t="s">
        <v>435</v>
      </c>
      <c r="M39" s="707">
        <v>11468</v>
      </c>
      <c r="N39" s="707">
        <v>20000</v>
      </c>
      <c r="O39" s="505">
        <v>0</v>
      </c>
      <c r="P39" s="505">
        <f>P37/2</f>
        <v>1250</v>
      </c>
      <c r="Q39" s="505">
        <f t="shared" ref="Q39:T39" si="10">Q37/2</f>
        <v>5000</v>
      </c>
      <c r="R39" s="505">
        <f t="shared" si="10"/>
        <v>4750</v>
      </c>
      <c r="S39" s="505">
        <f t="shared" si="10"/>
        <v>4500</v>
      </c>
      <c r="T39" s="505">
        <f t="shared" si="10"/>
        <v>4500</v>
      </c>
      <c r="U39" s="502"/>
      <c r="V39" s="502"/>
      <c r="W39" s="603"/>
      <c r="X39" s="597"/>
      <c r="Y39" s="602"/>
      <c r="Z39" s="654">
        <f t="shared" si="6"/>
        <v>2500</v>
      </c>
      <c r="AA39" s="617"/>
      <c r="AB39" s="407"/>
      <c r="AC39" s="397"/>
      <c r="AD39" s="654">
        <f t="shared" si="3"/>
        <v>2500</v>
      </c>
      <c r="AE39" s="617"/>
      <c r="AF39" s="400"/>
      <c r="AG39" s="397"/>
      <c r="AI39" s="611"/>
      <c r="AJ39" s="612"/>
      <c r="AK39" s="613"/>
    </row>
    <row r="40" spans="1:37" s="572" customFormat="1" ht="33" hidden="1" customHeight="1">
      <c r="A40" s="559"/>
      <c r="B40" s="560" t="s">
        <v>388</v>
      </c>
      <c r="C40" s="560"/>
      <c r="D40" s="560"/>
      <c r="E40" s="561" t="s">
        <v>398</v>
      </c>
      <c r="F40" s="562"/>
      <c r="G40" s="563"/>
      <c r="H40" s="564"/>
      <c r="I40" s="563"/>
      <c r="J40" s="565"/>
      <c r="K40" s="565"/>
      <c r="L40" s="566"/>
      <c r="M40" s="722"/>
      <c r="N40" s="708"/>
      <c r="O40" s="614"/>
      <c r="P40" s="614"/>
      <c r="Q40" s="614"/>
      <c r="R40" s="614"/>
      <c r="S40" s="614"/>
      <c r="T40" s="614"/>
      <c r="U40" s="615"/>
      <c r="V40" s="569">
        <f>'DMF PI Links Physical Prog.S1'!Q40</f>
        <v>20</v>
      </c>
      <c r="W40" s="662"/>
      <c r="X40" s="569">
        <f>'3. DMF Progress'!AF25</f>
        <v>2.0031597222222222</v>
      </c>
      <c r="Y40" s="569">
        <f>'3. DMF Progress'!F25</f>
        <v>2.9565000000000001</v>
      </c>
      <c r="Z40" s="627"/>
      <c r="AA40" s="569">
        <f>'3. DMF Progress'!AI25</f>
        <v>3.0298753654970758</v>
      </c>
      <c r="AB40" s="569">
        <f>'3. DMF Progress'!AJ25</f>
        <v>6.9481114766081875</v>
      </c>
      <c r="AC40" s="562"/>
      <c r="AD40" s="627"/>
      <c r="AE40" s="628"/>
      <c r="AF40" s="630"/>
      <c r="AG40" s="562"/>
      <c r="AI40" s="611"/>
      <c r="AJ40" s="689">
        <f>X40+AA40+AE40</f>
        <v>5.0330350877192984</v>
      </c>
      <c r="AK40" s="689">
        <f>Y40+AB40+AF40</f>
        <v>9.9046114766081885</v>
      </c>
    </row>
    <row r="41" spans="1:37" ht="51" hidden="1" customHeight="1">
      <c r="A41" s="496">
        <v>10</v>
      </c>
      <c r="B41" s="497" t="s">
        <v>399</v>
      </c>
      <c r="C41" s="497" t="s">
        <v>419</v>
      </c>
      <c r="D41" s="497"/>
      <c r="E41" s="531" t="s">
        <v>400</v>
      </c>
      <c r="F41" s="668" t="s">
        <v>679</v>
      </c>
      <c r="G41" s="504" t="s">
        <v>522</v>
      </c>
      <c r="H41" s="499" t="s">
        <v>660</v>
      </c>
      <c r="I41" s="504"/>
      <c r="J41" s="390" t="s">
        <v>366</v>
      </c>
      <c r="K41" s="390" t="s">
        <v>229</v>
      </c>
      <c r="L41" s="416" t="s">
        <v>100</v>
      </c>
      <c r="M41" s="721">
        <v>0</v>
      </c>
      <c r="N41" s="709">
        <f>SUM(N42:N43)</f>
        <v>3</v>
      </c>
      <c r="O41" s="640">
        <f t="shared" ref="O41:T41" si="11">SUM(O42:O43)</f>
        <v>0</v>
      </c>
      <c r="P41" s="640">
        <f>SUM(P42:P43)</f>
        <v>0</v>
      </c>
      <c r="Q41" s="640">
        <f t="shared" si="11"/>
        <v>0</v>
      </c>
      <c r="R41" s="640">
        <f t="shared" si="11"/>
        <v>3</v>
      </c>
      <c r="S41" s="640">
        <f t="shared" si="11"/>
        <v>0</v>
      </c>
      <c r="T41" s="640">
        <f t="shared" si="11"/>
        <v>0</v>
      </c>
      <c r="U41" s="502"/>
      <c r="V41" s="502">
        <f>'DMF PI Links Physical Prog.S1'!Q41</f>
        <v>5</v>
      </c>
      <c r="W41" s="603"/>
      <c r="X41" s="597">
        <f>'3. DMF Progress'!E19</f>
        <v>6.25</v>
      </c>
      <c r="Y41" s="602">
        <f>'3. DMF Progress'!F19</f>
        <v>0.3125</v>
      </c>
      <c r="Z41" s="654">
        <f t="shared" ref="Z41:Z49" si="12">Q41/2</f>
        <v>0</v>
      </c>
      <c r="AA41" s="617">
        <f>'3. DMF Progress'!P19</f>
        <v>7.1304166666666671</v>
      </c>
      <c r="AB41" s="658">
        <f>'3. DMF Progress'!AJ19</f>
        <v>0.51693750000000005</v>
      </c>
      <c r="AC41" s="397"/>
      <c r="AD41" s="654">
        <f t="shared" ref="AD41:AD53" si="13">Q41/2</f>
        <v>0</v>
      </c>
      <c r="AE41" s="617"/>
      <c r="AF41" s="400" t="e">
        <f t="shared" si="0"/>
        <v>#DIV/0!</v>
      </c>
      <c r="AG41" s="397"/>
      <c r="AI41" s="611">
        <f>W41+Z41+AD41</f>
        <v>0</v>
      </c>
      <c r="AJ41" s="612">
        <f>X41+AA41+AE41</f>
        <v>13.380416666666667</v>
      </c>
      <c r="AK41" s="688" t="e">
        <f>Y41+AB41+AF41</f>
        <v>#DIV/0!</v>
      </c>
    </row>
    <row r="42" spans="1:37" ht="33" hidden="1" customHeight="1">
      <c r="A42" s="496"/>
      <c r="B42" s="497" t="s">
        <v>488</v>
      </c>
      <c r="C42" s="497"/>
      <c r="D42" s="497"/>
      <c r="E42" s="529" t="s">
        <v>631</v>
      </c>
      <c r="F42" s="667"/>
      <c r="G42" s="504"/>
      <c r="H42" s="499"/>
      <c r="I42" s="504"/>
      <c r="J42" s="390" t="s">
        <v>366</v>
      </c>
      <c r="K42" s="390" t="s">
        <v>229</v>
      </c>
      <c r="L42" s="416" t="s">
        <v>100</v>
      </c>
      <c r="M42" s="721">
        <v>0</v>
      </c>
      <c r="N42" s="707">
        <v>2</v>
      </c>
      <c r="O42" s="505">
        <v>0</v>
      </c>
      <c r="P42" s="505">
        <v>0</v>
      </c>
      <c r="Q42" s="505">
        <v>0</v>
      </c>
      <c r="R42" s="505">
        <v>2</v>
      </c>
      <c r="S42" s="505">
        <v>0</v>
      </c>
      <c r="T42" s="505">
        <v>0</v>
      </c>
      <c r="U42" s="502"/>
      <c r="V42" s="502"/>
      <c r="W42" s="603"/>
      <c r="X42" s="597"/>
      <c r="Y42" s="602"/>
      <c r="Z42" s="654">
        <f t="shared" si="12"/>
        <v>0</v>
      </c>
      <c r="AA42" s="617"/>
      <c r="AB42" s="661">
        <f>'Output 2 '!BP9</f>
        <v>0</v>
      </c>
      <c r="AC42" s="397"/>
      <c r="AD42" s="654">
        <f t="shared" si="13"/>
        <v>0</v>
      </c>
      <c r="AE42" s="617"/>
      <c r="AF42" s="400"/>
      <c r="AG42" s="397"/>
      <c r="AI42" s="611"/>
      <c r="AJ42" s="612"/>
      <c r="AK42" s="613"/>
    </row>
    <row r="43" spans="1:37" ht="33" hidden="1" customHeight="1">
      <c r="A43" s="496"/>
      <c r="B43" s="497" t="s">
        <v>489</v>
      </c>
      <c r="C43" s="497"/>
      <c r="D43" s="497"/>
      <c r="E43" s="529" t="s">
        <v>632</v>
      </c>
      <c r="F43" s="667"/>
      <c r="G43" s="504"/>
      <c r="H43" s="499"/>
      <c r="I43" s="504"/>
      <c r="J43" s="390" t="s">
        <v>366</v>
      </c>
      <c r="K43" s="390" t="s">
        <v>229</v>
      </c>
      <c r="L43" s="416" t="s">
        <v>100</v>
      </c>
      <c r="M43" s="721">
        <v>0</v>
      </c>
      <c r="N43" s="707">
        <v>1</v>
      </c>
      <c r="O43" s="505">
        <v>0</v>
      </c>
      <c r="P43" s="505">
        <v>0</v>
      </c>
      <c r="Q43" s="505">
        <v>0</v>
      </c>
      <c r="R43" s="505">
        <v>1</v>
      </c>
      <c r="S43" s="505">
        <v>0</v>
      </c>
      <c r="T43" s="505">
        <v>0</v>
      </c>
      <c r="U43" s="502"/>
      <c r="V43" s="502"/>
      <c r="W43" s="603"/>
      <c r="X43" s="597"/>
      <c r="Y43" s="602"/>
      <c r="Z43" s="654">
        <f t="shared" si="12"/>
        <v>0</v>
      </c>
      <c r="AA43" s="617"/>
      <c r="AB43" s="661">
        <f>'Output 2 '!BP10</f>
        <v>0</v>
      </c>
      <c r="AC43" s="397"/>
      <c r="AD43" s="654">
        <f t="shared" si="13"/>
        <v>0</v>
      </c>
      <c r="AE43" s="617"/>
      <c r="AF43" s="400"/>
      <c r="AG43" s="397"/>
      <c r="AI43" s="611"/>
      <c r="AJ43" s="612"/>
      <c r="AK43" s="613"/>
    </row>
    <row r="44" spans="1:37" ht="85.9" hidden="1" customHeight="1">
      <c r="A44" s="496">
        <v>11</v>
      </c>
      <c r="B44" s="497" t="s">
        <v>403</v>
      </c>
      <c r="C44" s="497" t="s">
        <v>420</v>
      </c>
      <c r="D44" s="497"/>
      <c r="E44" s="528" t="s">
        <v>401</v>
      </c>
      <c r="F44" s="668" t="s">
        <v>679</v>
      </c>
      <c r="G44" s="504" t="s">
        <v>523</v>
      </c>
      <c r="H44" s="499" t="s">
        <v>660</v>
      </c>
      <c r="I44" s="504"/>
      <c r="J44" s="390" t="s">
        <v>366</v>
      </c>
      <c r="K44" s="390" t="s">
        <v>229</v>
      </c>
      <c r="L44" s="416"/>
      <c r="M44" s="508" t="s">
        <v>515</v>
      </c>
      <c r="N44" s="707">
        <f>SUM(N45:N46)</f>
        <v>40000</v>
      </c>
      <c r="O44" s="505">
        <v>0</v>
      </c>
      <c r="P44" s="505">
        <v>2500</v>
      </c>
      <c r="Q44" s="505">
        <v>10000</v>
      </c>
      <c r="R44" s="505">
        <v>9500</v>
      </c>
      <c r="S44" s="505">
        <v>9000</v>
      </c>
      <c r="T44" s="505">
        <v>9000</v>
      </c>
      <c r="U44" s="502"/>
      <c r="V44" s="502">
        <f>'DMF PI Links Physical Prog.S1'!Q44</f>
        <v>5</v>
      </c>
      <c r="W44" s="603"/>
      <c r="X44" s="597">
        <f>'3. DMF Progress'!E20</f>
        <v>16.98</v>
      </c>
      <c r="Y44" s="602">
        <f>'3. DMF Progress'!F20</f>
        <v>0.84900000000000009</v>
      </c>
      <c r="Z44" s="654">
        <f t="shared" si="12"/>
        <v>5000</v>
      </c>
      <c r="AA44" s="617">
        <f>'3. DMF Progress'!P20</f>
        <v>15.195701754385963</v>
      </c>
      <c r="AB44" s="658">
        <f>'3. DMF Progress'!AJ20</f>
        <v>0.90511842105263163</v>
      </c>
      <c r="AC44" s="397"/>
      <c r="AD44" s="654">
        <f t="shared" si="13"/>
        <v>5000</v>
      </c>
      <c r="AE44" s="617"/>
      <c r="AF44" s="400">
        <f t="shared" si="0"/>
        <v>0</v>
      </c>
      <c r="AG44" s="397"/>
      <c r="AI44" s="611">
        <f>W44+Z44+AD44</f>
        <v>10000</v>
      </c>
      <c r="AJ44" s="612">
        <f>X44+AA44+AE44</f>
        <v>32.175701754385962</v>
      </c>
      <c r="AK44" s="688">
        <f>Y44+AB44+AF44</f>
        <v>1.7541184210526317</v>
      </c>
    </row>
    <row r="45" spans="1:37" ht="35.1" hidden="1" customHeight="1">
      <c r="A45" s="496"/>
      <c r="B45" s="497" t="s">
        <v>490</v>
      </c>
      <c r="C45" s="497"/>
      <c r="D45" s="497"/>
      <c r="E45" s="529" t="s">
        <v>618</v>
      </c>
      <c r="F45" s="667"/>
      <c r="G45" s="504"/>
      <c r="H45" s="499"/>
      <c r="I45" s="504"/>
      <c r="J45" s="390"/>
      <c r="K45" s="390"/>
      <c r="L45" s="416" t="s">
        <v>134</v>
      </c>
      <c r="M45" s="508" t="s">
        <v>515</v>
      </c>
      <c r="N45" s="707">
        <v>20000</v>
      </c>
      <c r="O45" s="505">
        <v>0</v>
      </c>
      <c r="P45" s="505">
        <v>501</v>
      </c>
      <c r="Q45" s="505">
        <f t="shared" ref="Q45" si="14">Q44/2</f>
        <v>5000</v>
      </c>
      <c r="R45" s="505">
        <v>5000</v>
      </c>
      <c r="S45" s="505">
        <v>5000</v>
      </c>
      <c r="T45" s="505">
        <f>(T44/2)-1</f>
        <v>4499</v>
      </c>
      <c r="U45" s="502"/>
      <c r="V45" s="502"/>
      <c r="W45" s="603"/>
      <c r="X45" s="597"/>
      <c r="Y45" s="602"/>
      <c r="Z45" s="654">
        <f t="shared" si="12"/>
        <v>2500</v>
      </c>
      <c r="AA45" s="617"/>
      <c r="AB45" s="661">
        <f>'Output 2 '!BP26</f>
        <v>0.72291666666666665</v>
      </c>
      <c r="AC45" s="397"/>
      <c r="AD45" s="654">
        <f t="shared" si="13"/>
        <v>2500</v>
      </c>
      <c r="AE45" s="617"/>
      <c r="AF45" s="400"/>
      <c r="AG45" s="397"/>
      <c r="AI45" s="611"/>
      <c r="AJ45" s="612"/>
      <c r="AK45" s="613"/>
    </row>
    <row r="46" spans="1:37" ht="35.1" hidden="1" customHeight="1">
      <c r="A46" s="496"/>
      <c r="B46" s="497" t="s">
        <v>491</v>
      </c>
      <c r="C46" s="497"/>
      <c r="D46" s="660" t="s">
        <v>672</v>
      </c>
      <c r="E46" s="529" t="s">
        <v>619</v>
      </c>
      <c r="F46" s="667"/>
      <c r="G46" s="504"/>
      <c r="H46" s="499"/>
      <c r="I46" s="504"/>
      <c r="J46" s="390"/>
      <c r="K46" s="390"/>
      <c r="L46" s="416" t="s">
        <v>134</v>
      </c>
      <c r="M46" s="508" t="s">
        <v>515</v>
      </c>
      <c r="N46" s="707">
        <v>20000</v>
      </c>
      <c r="O46" s="505">
        <v>0</v>
      </c>
      <c r="P46" s="505">
        <v>250</v>
      </c>
      <c r="Q46" s="505">
        <f>4000+(4000-250)/4</f>
        <v>4937.5</v>
      </c>
      <c r="R46" s="505">
        <f t="shared" ref="R46:T46" si="15">4000+(4000-250)/4</f>
        <v>4937.5</v>
      </c>
      <c r="S46" s="505">
        <f t="shared" si="15"/>
        <v>4937.5</v>
      </c>
      <c r="T46" s="505">
        <f t="shared" si="15"/>
        <v>4937.5</v>
      </c>
      <c r="U46" s="502"/>
      <c r="V46" s="502"/>
      <c r="W46" s="603"/>
      <c r="X46" s="597"/>
      <c r="Y46" s="602"/>
      <c r="Z46" s="654">
        <f t="shared" si="12"/>
        <v>2468.75</v>
      </c>
      <c r="AA46" s="617"/>
      <c r="AB46" s="407"/>
      <c r="AC46" s="397"/>
      <c r="AD46" s="654">
        <f t="shared" si="13"/>
        <v>2468.75</v>
      </c>
      <c r="AE46" s="617"/>
      <c r="AF46" s="400"/>
      <c r="AG46" s="397"/>
      <c r="AI46" s="611"/>
      <c r="AJ46" s="612"/>
      <c r="AK46" s="613"/>
    </row>
    <row r="47" spans="1:37" ht="51" hidden="1" customHeight="1">
      <c r="A47" s="496"/>
      <c r="B47" s="497" t="s">
        <v>492</v>
      </c>
      <c r="C47" s="497"/>
      <c r="D47" s="497"/>
      <c r="E47" s="529" t="s">
        <v>620</v>
      </c>
      <c r="F47" s="667"/>
      <c r="G47" s="504"/>
      <c r="H47" s="499"/>
      <c r="I47" s="504"/>
      <c r="J47" s="390"/>
      <c r="K47" s="390"/>
      <c r="L47" s="416" t="s">
        <v>134</v>
      </c>
      <c r="M47" s="721">
        <v>0</v>
      </c>
      <c r="N47" s="707">
        <f>50%*(N46+N45)</f>
        <v>20000</v>
      </c>
      <c r="O47" s="505">
        <v>0</v>
      </c>
      <c r="P47" s="505">
        <v>875</v>
      </c>
      <c r="Q47" s="505">
        <f>4000+(4000-$P$47)/4</f>
        <v>4781.25</v>
      </c>
      <c r="R47" s="505">
        <f t="shared" ref="R47:T47" si="16">4000+(4000-$P$47)/4</f>
        <v>4781.25</v>
      </c>
      <c r="S47" s="505">
        <f t="shared" si="16"/>
        <v>4781.25</v>
      </c>
      <c r="T47" s="505">
        <f t="shared" si="16"/>
        <v>4781.25</v>
      </c>
      <c r="U47" s="502"/>
      <c r="V47" s="502"/>
      <c r="W47" s="603"/>
      <c r="X47" s="597"/>
      <c r="Y47" s="602"/>
      <c r="Z47" s="654">
        <f t="shared" si="12"/>
        <v>2390.625</v>
      </c>
      <c r="AA47" s="617"/>
      <c r="AB47" s="661">
        <f>'Output 2 '!BP27</f>
        <v>0.1</v>
      </c>
      <c r="AC47" s="397"/>
      <c r="AD47" s="654">
        <f t="shared" si="13"/>
        <v>2390.625</v>
      </c>
      <c r="AE47" s="617"/>
      <c r="AF47" s="400"/>
      <c r="AG47" s="397"/>
      <c r="AI47" s="611"/>
      <c r="AJ47" s="612"/>
      <c r="AK47" s="613"/>
    </row>
    <row r="48" spans="1:37" ht="51" hidden="1" customHeight="1">
      <c r="A48" s="496"/>
      <c r="B48" s="497"/>
      <c r="C48" s="497"/>
      <c r="D48" s="633" t="s">
        <v>676</v>
      </c>
      <c r="E48" s="529" t="s">
        <v>667</v>
      </c>
      <c r="F48" s="667"/>
      <c r="G48" s="504"/>
      <c r="H48" s="499"/>
      <c r="I48" s="504"/>
      <c r="J48" s="390"/>
      <c r="K48" s="390"/>
      <c r="L48" s="416"/>
      <c r="M48" s="508" t="s">
        <v>515</v>
      </c>
      <c r="N48" s="707">
        <v>500</v>
      </c>
      <c r="O48" s="505">
        <v>0</v>
      </c>
      <c r="P48" s="505">
        <v>250</v>
      </c>
      <c r="Q48" s="505">
        <v>250</v>
      </c>
      <c r="R48" s="505">
        <v>0</v>
      </c>
      <c r="S48" s="505">
        <v>0</v>
      </c>
      <c r="T48" s="505">
        <v>0</v>
      </c>
      <c r="U48" s="502"/>
      <c r="V48" s="502"/>
      <c r="W48" s="603"/>
      <c r="X48" s="597"/>
      <c r="Y48" s="602"/>
      <c r="Z48" s="654">
        <f t="shared" si="12"/>
        <v>125</v>
      </c>
      <c r="AA48" s="617"/>
      <c r="AB48" s="661">
        <f>'Output 2 '!BP25</f>
        <v>0.69</v>
      </c>
      <c r="AC48" s="397"/>
      <c r="AD48" s="654">
        <f t="shared" si="13"/>
        <v>125</v>
      </c>
      <c r="AE48" s="617"/>
      <c r="AF48" s="400"/>
      <c r="AG48" s="397"/>
      <c r="AI48" s="611"/>
      <c r="AJ48" s="612"/>
      <c r="AK48" s="613"/>
    </row>
    <row r="49" spans="1:37" ht="51" hidden="1" customHeight="1">
      <c r="A49" s="496"/>
      <c r="B49" s="497"/>
      <c r="C49" s="497"/>
      <c r="D49" s="633" t="s">
        <v>676</v>
      </c>
      <c r="E49" s="529" t="s">
        <v>699</v>
      </c>
      <c r="F49" s="667"/>
      <c r="G49" s="504"/>
      <c r="H49" s="499"/>
      <c r="I49" s="504"/>
      <c r="J49" s="390"/>
      <c r="K49" s="390"/>
      <c r="L49" s="416"/>
      <c r="M49" s="508" t="s">
        <v>515</v>
      </c>
      <c r="N49" s="707">
        <f>20%*N44</f>
        <v>8000</v>
      </c>
      <c r="O49" s="505">
        <v>0</v>
      </c>
      <c r="P49" s="505">
        <v>496</v>
      </c>
      <c r="Q49" s="505">
        <f>2000+(2000-$P$49)/4</f>
        <v>2376</v>
      </c>
      <c r="R49" s="505">
        <v>2000</v>
      </c>
      <c r="S49" s="505">
        <v>2000</v>
      </c>
      <c r="T49" s="505">
        <f>2000-872</f>
        <v>1128</v>
      </c>
      <c r="U49" s="502"/>
      <c r="V49" s="502"/>
      <c r="W49" s="603"/>
      <c r="X49" s="597"/>
      <c r="Y49" s="602"/>
      <c r="Z49" s="654">
        <f t="shared" si="12"/>
        <v>1188</v>
      </c>
      <c r="AA49" s="617"/>
      <c r="AB49" s="661">
        <f>'Output 2 '!BP28</f>
        <v>0.19736842105263158</v>
      </c>
      <c r="AC49" s="397"/>
      <c r="AD49" s="654">
        <f t="shared" si="13"/>
        <v>1188</v>
      </c>
      <c r="AE49" s="617"/>
      <c r="AF49" s="400"/>
      <c r="AG49" s="397"/>
      <c r="AI49" s="611"/>
      <c r="AJ49" s="612"/>
      <c r="AK49" s="613"/>
    </row>
    <row r="50" spans="1:37" ht="77.45" hidden="1" customHeight="1">
      <c r="A50" s="496">
        <v>12</v>
      </c>
      <c r="B50" s="497" t="s">
        <v>404</v>
      </c>
      <c r="C50" s="497" t="s">
        <v>442</v>
      </c>
      <c r="D50" s="497"/>
      <c r="E50" s="528" t="s">
        <v>678</v>
      </c>
      <c r="F50" s="668" t="s">
        <v>679</v>
      </c>
      <c r="G50" s="504" t="s">
        <v>524</v>
      </c>
      <c r="H50" s="499" t="s">
        <v>660</v>
      </c>
      <c r="I50" s="504"/>
      <c r="J50" s="390" t="s">
        <v>366</v>
      </c>
      <c r="K50" s="390" t="s">
        <v>229</v>
      </c>
      <c r="L50" s="416" t="s">
        <v>188</v>
      </c>
      <c r="M50" s="721">
        <v>0</v>
      </c>
      <c r="N50" s="707"/>
      <c r="O50" s="640"/>
      <c r="P50" s="640"/>
      <c r="Q50" s="640"/>
      <c r="R50" s="640"/>
      <c r="S50" s="640"/>
      <c r="T50" s="640"/>
      <c r="U50" s="502"/>
      <c r="V50" s="502"/>
      <c r="W50" s="603"/>
      <c r="X50" s="597"/>
      <c r="Y50" s="602"/>
      <c r="Z50" s="654"/>
      <c r="AA50" s="617"/>
      <c r="AB50" s="658">
        <f>SUM(AB51:AB52)/2</f>
        <v>1.5950277777777777</v>
      </c>
      <c r="AC50" s="397"/>
      <c r="AD50" s="654">
        <f t="shared" si="13"/>
        <v>0</v>
      </c>
      <c r="AE50" s="617"/>
      <c r="AF50" s="400" t="e">
        <f t="shared" si="0"/>
        <v>#DIV/0!</v>
      </c>
      <c r="AG50" s="397"/>
      <c r="AI50" s="611"/>
      <c r="AJ50" s="612"/>
      <c r="AK50" s="613"/>
    </row>
    <row r="51" spans="1:37" ht="55.5" hidden="1" customHeight="1">
      <c r="A51" s="496"/>
      <c r="B51" s="497" t="s">
        <v>493</v>
      </c>
      <c r="C51" s="497" t="s">
        <v>685</v>
      </c>
      <c r="D51" s="497"/>
      <c r="E51" s="529" t="s">
        <v>680</v>
      </c>
      <c r="F51" s="667"/>
      <c r="G51" s="504" t="s">
        <v>681</v>
      </c>
      <c r="H51" s="499"/>
      <c r="I51" s="504"/>
      <c r="J51" s="390" t="s">
        <v>366</v>
      </c>
      <c r="K51" s="390" t="s">
        <v>229</v>
      </c>
      <c r="L51" s="416" t="s">
        <v>188</v>
      </c>
      <c r="M51" s="721">
        <v>0</v>
      </c>
      <c r="N51" s="707">
        <v>27</v>
      </c>
      <c r="O51" s="505">
        <v>0</v>
      </c>
      <c r="P51" s="505">
        <v>10</v>
      </c>
      <c r="Q51" s="505">
        <v>8</v>
      </c>
      <c r="R51" s="505">
        <v>9</v>
      </c>
      <c r="S51" s="505">
        <v>0</v>
      </c>
      <c r="T51" s="505">
        <v>0</v>
      </c>
      <c r="U51" s="502"/>
      <c r="V51" s="502">
        <f>'DMF PI Links Physical Prog.S1'!Q51</f>
        <v>3</v>
      </c>
      <c r="W51" s="603"/>
      <c r="X51" s="597">
        <f>'3. DMF Progress'!E21</f>
        <v>12.1</v>
      </c>
      <c r="Y51" s="602">
        <f>'3. DMF Progress'!F21</f>
        <v>0.36299999999999999</v>
      </c>
      <c r="Z51" s="654">
        <f>Q51/2</f>
        <v>4</v>
      </c>
      <c r="AA51" s="617">
        <f>'3. DMF Progress'!P21</f>
        <v>26.154938271604941</v>
      </c>
      <c r="AB51" s="658">
        <f>'3. DMF Progress'!AJ21</f>
        <v>1.9150555555555557</v>
      </c>
      <c r="AC51" s="397"/>
      <c r="AD51" s="654">
        <f t="shared" si="13"/>
        <v>4</v>
      </c>
      <c r="AE51" s="617"/>
      <c r="AF51" s="400"/>
      <c r="AG51" s="397"/>
      <c r="AI51" s="611">
        <f t="shared" ref="AI51:AK52" si="17">W51+Z51+AD51</f>
        <v>8</v>
      </c>
      <c r="AJ51" s="612">
        <f t="shared" si="17"/>
        <v>38.254938271604942</v>
      </c>
      <c r="AK51" s="688">
        <f t="shared" si="17"/>
        <v>2.2780555555555555</v>
      </c>
    </row>
    <row r="52" spans="1:37" ht="51" hidden="1" customHeight="1">
      <c r="A52" s="496"/>
      <c r="B52" s="497" t="s">
        <v>494</v>
      </c>
      <c r="C52" s="497" t="s">
        <v>686</v>
      </c>
      <c r="D52" s="497"/>
      <c r="E52" s="529" t="s">
        <v>621</v>
      </c>
      <c r="F52" s="667"/>
      <c r="G52" s="504"/>
      <c r="H52" s="499"/>
      <c r="I52" s="504"/>
      <c r="J52" s="390" t="s">
        <v>366</v>
      </c>
      <c r="K52" s="390" t="s">
        <v>229</v>
      </c>
      <c r="L52" s="416" t="s">
        <v>134</v>
      </c>
      <c r="M52" s="721">
        <v>0</v>
      </c>
      <c r="N52" s="707">
        <v>500</v>
      </c>
      <c r="O52" s="505">
        <v>0</v>
      </c>
      <c r="P52" s="505">
        <v>100</v>
      </c>
      <c r="Q52" s="505">
        <v>100</v>
      </c>
      <c r="R52" s="505">
        <v>100</v>
      </c>
      <c r="S52" s="505">
        <v>100</v>
      </c>
      <c r="T52" s="505">
        <v>100</v>
      </c>
      <c r="U52" s="502"/>
      <c r="V52" s="502">
        <f>'DMF PI Links Physical Prog.S1'!Q52</f>
        <v>3</v>
      </c>
      <c r="W52" s="603"/>
      <c r="X52" s="597">
        <f>'3. DMF Progress'!E22</f>
        <v>10</v>
      </c>
      <c r="Y52" s="602">
        <f>'3. DMF Progress'!F22</f>
        <v>0.3</v>
      </c>
      <c r="Z52" s="654">
        <f>Q52/2</f>
        <v>50</v>
      </c>
      <c r="AA52" s="617">
        <f>'3. DMF Progress'!P22</f>
        <v>16.5</v>
      </c>
      <c r="AB52" s="658">
        <f>'3. DMF Progress'!AJ22</f>
        <v>1.2749999999999999</v>
      </c>
      <c r="AC52" s="397"/>
      <c r="AD52" s="654">
        <f t="shared" si="13"/>
        <v>50</v>
      </c>
      <c r="AE52" s="617"/>
      <c r="AF52" s="400"/>
      <c r="AG52" s="397"/>
      <c r="AI52" s="611">
        <f t="shared" si="17"/>
        <v>100</v>
      </c>
      <c r="AJ52" s="612">
        <f t="shared" si="17"/>
        <v>26.5</v>
      </c>
      <c r="AK52" s="688">
        <f t="shared" si="17"/>
        <v>1.575</v>
      </c>
    </row>
    <row r="53" spans="1:37" ht="81.75" hidden="1" customHeight="1">
      <c r="A53" s="496">
        <v>13</v>
      </c>
      <c r="B53" s="497" t="s">
        <v>405</v>
      </c>
      <c r="C53" s="497" t="s">
        <v>443</v>
      </c>
      <c r="D53" s="497"/>
      <c r="E53" s="528" t="s">
        <v>682</v>
      </c>
      <c r="F53" s="668" t="s">
        <v>679</v>
      </c>
      <c r="G53" s="504" t="s">
        <v>525</v>
      </c>
      <c r="H53" s="499" t="s">
        <v>660</v>
      </c>
      <c r="I53" s="504"/>
      <c r="J53" s="390" t="s">
        <v>366</v>
      </c>
      <c r="K53" s="390" t="s">
        <v>229</v>
      </c>
      <c r="L53" s="416"/>
      <c r="M53" s="721">
        <v>0</v>
      </c>
      <c r="N53" s="707">
        <f>SUM(N54:N55)</f>
        <v>8</v>
      </c>
      <c r="O53" s="505"/>
      <c r="P53" s="640">
        <f>SUM(P54:P55)</f>
        <v>6</v>
      </c>
      <c r="Q53" s="640">
        <f>P53</f>
        <v>6</v>
      </c>
      <c r="R53" s="640">
        <f t="shared" ref="R53:T53" si="18">SUM(R54:R55)</f>
        <v>2</v>
      </c>
      <c r="S53" s="640">
        <f t="shared" si="18"/>
        <v>0</v>
      </c>
      <c r="T53" s="640">
        <f t="shared" si="18"/>
        <v>0</v>
      </c>
      <c r="U53" s="502"/>
      <c r="V53" s="502"/>
      <c r="W53" s="603"/>
      <c r="X53" s="597"/>
      <c r="Y53" s="602"/>
      <c r="Z53" s="654">
        <f>Q53/2</f>
        <v>3</v>
      </c>
      <c r="AA53" s="646">
        <f>Z53*AB53</f>
        <v>3.5040000000000004</v>
      </c>
      <c r="AB53" s="683">
        <f>SUM(AB54:AB55)/2</f>
        <v>1.1680000000000001</v>
      </c>
      <c r="AC53" s="397"/>
      <c r="AD53" s="654">
        <f t="shared" si="13"/>
        <v>3</v>
      </c>
      <c r="AE53" s="617"/>
      <c r="AF53" s="400">
        <f t="shared" si="0"/>
        <v>0</v>
      </c>
      <c r="AG53" s="397"/>
      <c r="AI53" s="611"/>
      <c r="AJ53" s="612"/>
      <c r="AK53" s="613"/>
    </row>
    <row r="54" spans="1:37" ht="65.25" hidden="1" customHeight="1">
      <c r="A54" s="496"/>
      <c r="B54" s="497" t="s">
        <v>495</v>
      </c>
      <c r="C54" s="497" t="s">
        <v>687</v>
      </c>
      <c r="D54" s="497"/>
      <c r="E54" s="529" t="s">
        <v>626</v>
      </c>
      <c r="F54" s="667"/>
      <c r="G54" s="504"/>
      <c r="H54" s="499"/>
      <c r="I54" s="504"/>
      <c r="J54" s="390" t="s">
        <v>366</v>
      </c>
      <c r="K54" s="390" t="s">
        <v>229</v>
      </c>
      <c r="L54" s="416" t="s">
        <v>463</v>
      </c>
      <c r="M54" s="721">
        <v>0</v>
      </c>
      <c r="N54" s="707">
        <v>4</v>
      </c>
      <c r="O54" s="505">
        <v>0</v>
      </c>
      <c r="P54" s="505">
        <v>3</v>
      </c>
      <c r="Q54" s="505"/>
      <c r="R54" s="505">
        <v>1</v>
      </c>
      <c r="S54" s="505"/>
      <c r="T54" s="505"/>
      <c r="U54" s="502"/>
      <c r="V54" s="502">
        <f>'DMF PI Links Physical Prog.S1'!Q54</f>
        <v>2</v>
      </c>
      <c r="W54" s="603"/>
      <c r="X54" s="597">
        <f>'3. DMF Progress'!E23</f>
        <v>26.3</v>
      </c>
      <c r="Y54" s="602">
        <f>'3. DMF Progress'!F23</f>
        <v>0.52600000000000002</v>
      </c>
      <c r="Z54" s="654">
        <f>P54/2</f>
        <v>1.5</v>
      </c>
      <c r="AA54" s="617">
        <f>'3. DMF Progress'!P23</f>
        <v>45.175000000000004</v>
      </c>
      <c r="AB54" s="658">
        <f>'3. DMF Progress'!AJ23</f>
        <v>1.1265000000000001</v>
      </c>
      <c r="AC54" s="397"/>
      <c r="AD54" s="654">
        <f>P54/2</f>
        <v>1.5</v>
      </c>
      <c r="AE54" s="617"/>
      <c r="AF54" s="400"/>
      <c r="AG54" s="397"/>
      <c r="AI54" s="611">
        <f t="shared" ref="AI54:AK55" si="19">W54+Z54+AD54</f>
        <v>3</v>
      </c>
      <c r="AJ54" s="612">
        <f t="shared" si="19"/>
        <v>71.475000000000009</v>
      </c>
      <c r="AK54" s="688">
        <f t="shared" si="19"/>
        <v>1.6525000000000001</v>
      </c>
    </row>
    <row r="55" spans="1:37" ht="64.5" hidden="1" customHeight="1">
      <c r="A55" s="496"/>
      <c r="B55" s="497" t="s">
        <v>496</v>
      </c>
      <c r="C55" s="497" t="s">
        <v>688</v>
      </c>
      <c r="D55" s="497"/>
      <c r="E55" s="529" t="s">
        <v>627</v>
      </c>
      <c r="F55" s="667"/>
      <c r="G55" s="504"/>
      <c r="H55" s="499"/>
      <c r="I55" s="504"/>
      <c r="J55" s="390" t="s">
        <v>366</v>
      </c>
      <c r="K55" s="390" t="s">
        <v>229</v>
      </c>
      <c r="L55" s="416" t="s">
        <v>464</v>
      </c>
      <c r="M55" s="721">
        <v>0</v>
      </c>
      <c r="N55" s="707">
        <v>4</v>
      </c>
      <c r="O55" s="505">
        <v>0</v>
      </c>
      <c r="P55" s="505">
        <v>3</v>
      </c>
      <c r="Q55" s="505"/>
      <c r="R55" s="505">
        <v>1</v>
      </c>
      <c r="S55" s="505"/>
      <c r="T55" s="505"/>
      <c r="U55" s="502"/>
      <c r="V55" s="502">
        <f>'DMF PI Links Physical Prog.S1'!Q55</f>
        <v>2</v>
      </c>
      <c r="W55" s="603"/>
      <c r="X55" s="597">
        <f>'3. DMF Progress'!E24</f>
        <v>30.3</v>
      </c>
      <c r="Y55" s="602">
        <f>'3. DMF Progress'!F24</f>
        <v>0.60599999999999998</v>
      </c>
      <c r="Z55" s="654">
        <f>P55/2</f>
        <v>1.5</v>
      </c>
      <c r="AA55" s="617">
        <f>'3. DMF Progress'!P24</f>
        <v>51.824999999999996</v>
      </c>
      <c r="AB55" s="658">
        <f>'3. DMF Progress'!AJ24</f>
        <v>1.2095</v>
      </c>
      <c r="AC55" s="397"/>
      <c r="AD55" s="654">
        <f>P55/2</f>
        <v>1.5</v>
      </c>
      <c r="AE55" s="617"/>
      <c r="AF55" s="400"/>
      <c r="AG55" s="397"/>
      <c r="AI55" s="611">
        <f t="shared" si="19"/>
        <v>3</v>
      </c>
      <c r="AJ55" s="612">
        <f t="shared" si="19"/>
        <v>82.125</v>
      </c>
      <c r="AK55" s="688">
        <f t="shared" si="19"/>
        <v>1.8155000000000001</v>
      </c>
    </row>
    <row r="56" spans="1:37" s="572" customFormat="1" ht="35.1" hidden="1" customHeight="1">
      <c r="A56" s="559"/>
      <c r="B56" s="560" t="s">
        <v>389</v>
      </c>
      <c r="C56" s="560"/>
      <c r="D56" s="560"/>
      <c r="E56" s="561" t="s">
        <v>402</v>
      </c>
      <c r="F56" s="562"/>
      <c r="G56" s="563"/>
      <c r="H56" s="564"/>
      <c r="I56" s="563"/>
      <c r="J56" s="565"/>
      <c r="K56" s="565"/>
      <c r="L56" s="566"/>
      <c r="M56" s="722"/>
      <c r="N56" s="708"/>
      <c r="O56" s="567"/>
      <c r="P56" s="567"/>
      <c r="Q56" s="567"/>
      <c r="R56" s="567"/>
      <c r="S56" s="567"/>
      <c r="T56" s="567"/>
      <c r="U56" s="569"/>
      <c r="V56" s="569">
        <f>'DMF PI Links Physical Prog.S1'!Q56</f>
        <v>15</v>
      </c>
      <c r="W56" s="662"/>
      <c r="X56" s="614"/>
      <c r="Y56" s="569">
        <f>'3. DMF Progress'!F34</f>
        <v>1.3950000000000002</v>
      </c>
      <c r="Z56" s="627"/>
      <c r="AA56" s="569">
        <f>'3. DMF Progress'!AI34</f>
        <v>1.8250000000000002</v>
      </c>
      <c r="AB56" s="702">
        <f>'3. DMF Progress'!AJ34</f>
        <v>1.9715000000000003</v>
      </c>
      <c r="AC56" s="562"/>
      <c r="AD56" s="627"/>
      <c r="AE56" s="684">
        <f>'3. DMF Progress'!AS34</f>
        <v>1.1166749999999999</v>
      </c>
      <c r="AF56" s="684">
        <f>'3. DMF Progress'!AT34</f>
        <v>2.529175</v>
      </c>
      <c r="AG56" s="562"/>
      <c r="AI56" s="611"/>
      <c r="AJ56" s="689">
        <f>X56+AA56+AE56</f>
        <v>2.941675</v>
      </c>
      <c r="AK56" s="689">
        <f>Y56+AB56+AF56</f>
        <v>5.8956750000000007</v>
      </c>
    </row>
    <row r="57" spans="1:37" ht="77.45" hidden="1" customHeight="1">
      <c r="A57" s="496">
        <v>14</v>
      </c>
      <c r="B57" s="497" t="s">
        <v>582</v>
      </c>
      <c r="C57" s="497" t="s">
        <v>444</v>
      </c>
      <c r="D57" s="497"/>
      <c r="E57" s="528" t="s">
        <v>421</v>
      </c>
      <c r="F57" s="668" t="s">
        <v>679</v>
      </c>
      <c r="G57" s="504" t="s">
        <v>526</v>
      </c>
      <c r="H57" s="499" t="s">
        <v>660</v>
      </c>
      <c r="I57" s="504"/>
      <c r="J57" s="390" t="s">
        <v>366</v>
      </c>
      <c r="K57" s="390" t="s">
        <v>229</v>
      </c>
      <c r="L57" s="416" t="s">
        <v>469</v>
      </c>
      <c r="M57" s="721"/>
      <c r="N57" s="707">
        <f>SUM(N58:N63)</f>
        <v>6</v>
      </c>
      <c r="O57" s="640">
        <v>0</v>
      </c>
      <c r="P57" s="640">
        <v>0</v>
      </c>
      <c r="Q57" s="656">
        <f>SUM(Q58:Q63)</f>
        <v>1.9000000000000001</v>
      </c>
      <c r="R57" s="656">
        <f t="shared" ref="R57:T57" si="20">SUM(R58:R63)</f>
        <v>1.9000000000000001</v>
      </c>
      <c r="S57" s="656">
        <f t="shared" si="20"/>
        <v>1.6</v>
      </c>
      <c r="T57" s="656">
        <f t="shared" si="20"/>
        <v>0.5</v>
      </c>
      <c r="U57" s="502"/>
      <c r="V57" s="502">
        <f>'DMF PI Links Physical Prog.S1'!Q57</f>
        <v>2</v>
      </c>
      <c r="W57" s="603"/>
      <c r="X57" s="597">
        <f>'3. DMF Progress'!E27</f>
        <v>19</v>
      </c>
      <c r="Y57" s="602">
        <f>'3. DMF Progress'!F27</f>
        <v>0.38</v>
      </c>
      <c r="Z57" s="654">
        <f>$Q$57/2</f>
        <v>0.95000000000000007</v>
      </c>
      <c r="AA57" s="617">
        <f>'3. DMF Progress'!P27</f>
        <v>37.325000000000003</v>
      </c>
      <c r="AB57" s="658">
        <f>'3. DMF Progress'!AJ27</f>
        <v>0.74649999999999994</v>
      </c>
      <c r="AC57" s="397"/>
      <c r="AD57" s="654">
        <f>$Q$57/2</f>
        <v>0.95000000000000007</v>
      </c>
      <c r="AE57" s="617"/>
      <c r="AF57" s="400">
        <f t="shared" si="0"/>
        <v>0</v>
      </c>
      <c r="AG57" s="397"/>
      <c r="AI57" s="611">
        <f>W57+Z57+AD57</f>
        <v>1.9000000000000001</v>
      </c>
      <c r="AJ57" s="612">
        <f>X57+AA57+AE57</f>
        <v>56.325000000000003</v>
      </c>
      <c r="AK57" s="688">
        <f>Y57+AB57+AF57</f>
        <v>1.1265000000000001</v>
      </c>
    </row>
    <row r="58" spans="1:37" ht="35.1" hidden="1" customHeight="1">
      <c r="A58" s="496"/>
      <c r="B58" s="497" t="s">
        <v>497</v>
      </c>
      <c r="C58" s="497"/>
      <c r="D58" s="497"/>
      <c r="E58" s="529" t="s">
        <v>668</v>
      </c>
      <c r="F58" s="667"/>
      <c r="G58" s="504"/>
      <c r="H58" s="499"/>
      <c r="I58" s="504"/>
      <c r="J58" s="390" t="s">
        <v>366</v>
      </c>
      <c r="K58" s="390" t="s">
        <v>229</v>
      </c>
      <c r="L58" s="416" t="s">
        <v>469</v>
      </c>
      <c r="M58" s="721">
        <v>0</v>
      </c>
      <c r="N58" s="707">
        <v>1</v>
      </c>
      <c r="O58" s="505">
        <v>0</v>
      </c>
      <c r="P58" s="505"/>
      <c r="Q58" s="631">
        <v>0.4</v>
      </c>
      <c r="R58" s="631">
        <v>0.4</v>
      </c>
      <c r="S58" s="631">
        <v>0.1</v>
      </c>
      <c r="T58" s="505"/>
      <c r="U58" s="502"/>
      <c r="V58" s="502"/>
      <c r="W58" s="603"/>
      <c r="X58" s="597"/>
      <c r="Y58" s="602"/>
      <c r="Z58" s="654">
        <f>$Q$58/2</f>
        <v>0.2</v>
      </c>
      <c r="AA58" s="617"/>
      <c r="AB58" s="407"/>
      <c r="AC58" s="397"/>
      <c r="AD58" s="654">
        <f>$Q$58/2</f>
        <v>0.2</v>
      </c>
      <c r="AE58" s="617"/>
      <c r="AF58" s="400"/>
      <c r="AG58" s="397"/>
      <c r="AI58" s="611"/>
      <c r="AJ58" s="612"/>
      <c r="AK58" s="613"/>
    </row>
    <row r="59" spans="1:37" s="650" customFormat="1" ht="35.1" hidden="1" customHeight="1">
      <c r="A59" s="634"/>
      <c r="B59" s="635" t="s">
        <v>498</v>
      </c>
      <c r="C59" s="635"/>
      <c r="D59" s="635"/>
      <c r="E59" s="529" t="s">
        <v>669</v>
      </c>
      <c r="F59" s="669"/>
      <c r="G59" s="636"/>
      <c r="H59" s="637"/>
      <c r="I59" s="636"/>
      <c r="J59" s="638" t="s">
        <v>366</v>
      </c>
      <c r="K59" s="638" t="s">
        <v>229</v>
      </c>
      <c r="L59" s="639" t="s">
        <v>469</v>
      </c>
      <c r="M59" s="723">
        <v>0</v>
      </c>
      <c r="N59" s="709">
        <v>1</v>
      </c>
      <c r="O59" s="640">
        <v>0</v>
      </c>
      <c r="P59" s="640"/>
      <c r="Q59" s="631">
        <v>0.3</v>
      </c>
      <c r="R59" s="631">
        <v>0.3</v>
      </c>
      <c r="S59" s="631">
        <v>0.3</v>
      </c>
      <c r="T59" s="631">
        <v>0.1</v>
      </c>
      <c r="U59" s="642"/>
      <c r="V59" s="642"/>
      <c r="W59" s="643"/>
      <c r="X59" s="644"/>
      <c r="Y59" s="645"/>
      <c r="Z59" s="654">
        <f>$Q$59/2</f>
        <v>0.15</v>
      </c>
      <c r="AA59" s="646"/>
      <c r="AB59" s="647"/>
      <c r="AC59" s="648"/>
      <c r="AD59" s="654">
        <f>$Q$59/2</f>
        <v>0.15</v>
      </c>
      <c r="AE59" s="646"/>
      <c r="AF59" s="649"/>
      <c r="AG59" s="648"/>
      <c r="AI59" s="651"/>
      <c r="AJ59" s="652"/>
      <c r="AK59" s="653"/>
    </row>
    <row r="60" spans="1:37" ht="35.1" hidden="1" customHeight="1">
      <c r="A60" s="496"/>
      <c r="B60" s="497" t="s">
        <v>499</v>
      </c>
      <c r="C60" s="497"/>
      <c r="D60" s="497"/>
      <c r="E60" s="529" t="s">
        <v>465</v>
      </c>
      <c r="F60" s="667"/>
      <c r="G60" s="504"/>
      <c r="H60" s="499"/>
      <c r="I60" s="504"/>
      <c r="J60" s="390" t="s">
        <v>366</v>
      </c>
      <c r="K60" s="390" t="s">
        <v>229</v>
      </c>
      <c r="L60" s="416" t="s">
        <v>469</v>
      </c>
      <c r="M60" s="721">
        <v>0</v>
      </c>
      <c r="N60" s="707">
        <v>1</v>
      </c>
      <c r="O60" s="505">
        <v>0</v>
      </c>
      <c r="P60" s="505"/>
      <c r="Q60" s="631">
        <v>0.3</v>
      </c>
      <c r="R60" s="631">
        <v>0.3</v>
      </c>
      <c r="S60" s="631">
        <v>0.3</v>
      </c>
      <c r="T60" s="631">
        <v>0.1</v>
      </c>
      <c r="U60" s="502"/>
      <c r="V60" s="502"/>
      <c r="W60" s="603"/>
      <c r="X60" s="597"/>
      <c r="Y60" s="602"/>
      <c r="Z60" s="654">
        <f>$Q$60/2</f>
        <v>0.15</v>
      </c>
      <c r="AA60" s="617"/>
      <c r="AB60" s="407"/>
      <c r="AC60" s="397"/>
      <c r="AD60" s="654">
        <f>$Q$60/2</f>
        <v>0.15</v>
      </c>
      <c r="AE60" s="617"/>
      <c r="AF60" s="400"/>
      <c r="AG60" s="397"/>
      <c r="AI60" s="611"/>
      <c r="AJ60" s="612"/>
      <c r="AK60" s="613"/>
    </row>
    <row r="61" spans="1:37" ht="35.1" hidden="1" customHeight="1">
      <c r="A61" s="496"/>
      <c r="B61" s="497" t="s">
        <v>500</v>
      </c>
      <c r="C61" s="497"/>
      <c r="D61" s="497"/>
      <c r="E61" s="529" t="s">
        <v>466</v>
      </c>
      <c r="F61" s="667"/>
      <c r="G61" s="504"/>
      <c r="H61" s="499"/>
      <c r="I61" s="504"/>
      <c r="J61" s="390" t="s">
        <v>366</v>
      </c>
      <c r="K61" s="390" t="s">
        <v>229</v>
      </c>
      <c r="L61" s="416" t="s">
        <v>469</v>
      </c>
      <c r="M61" s="721">
        <v>0</v>
      </c>
      <c r="N61" s="707">
        <v>1</v>
      </c>
      <c r="O61" s="505">
        <v>0</v>
      </c>
      <c r="P61" s="505"/>
      <c r="Q61" s="631">
        <v>0.3</v>
      </c>
      <c r="R61" s="631">
        <v>0.3</v>
      </c>
      <c r="S61" s="631">
        <v>0.3</v>
      </c>
      <c r="T61" s="631">
        <v>0.1</v>
      </c>
      <c r="U61" s="502"/>
      <c r="V61" s="502"/>
      <c r="W61" s="603"/>
      <c r="X61" s="597"/>
      <c r="Y61" s="602"/>
      <c r="Z61" s="654">
        <f>$Q$61/2</f>
        <v>0.15</v>
      </c>
      <c r="AA61" s="617"/>
      <c r="AB61" s="407"/>
      <c r="AC61" s="397"/>
      <c r="AD61" s="654">
        <f>$Q$61/2</f>
        <v>0.15</v>
      </c>
      <c r="AE61" s="617"/>
      <c r="AF61" s="400"/>
      <c r="AG61" s="397"/>
      <c r="AI61" s="611"/>
      <c r="AJ61" s="612"/>
      <c r="AK61" s="613"/>
    </row>
    <row r="62" spans="1:37" ht="35.1" hidden="1" customHeight="1">
      <c r="A62" s="496"/>
      <c r="B62" s="497" t="s">
        <v>501</v>
      </c>
      <c r="C62" s="497"/>
      <c r="D62" s="497"/>
      <c r="E62" s="529" t="s">
        <v>467</v>
      </c>
      <c r="F62" s="667"/>
      <c r="G62" s="504"/>
      <c r="H62" s="499"/>
      <c r="I62" s="504"/>
      <c r="J62" s="390" t="s">
        <v>366</v>
      </c>
      <c r="K62" s="390" t="s">
        <v>229</v>
      </c>
      <c r="L62" s="416" t="s">
        <v>469</v>
      </c>
      <c r="M62" s="721">
        <v>0</v>
      </c>
      <c r="N62" s="707">
        <v>1</v>
      </c>
      <c r="O62" s="505">
        <v>0</v>
      </c>
      <c r="P62" s="505"/>
      <c r="Q62" s="631">
        <v>0.3</v>
      </c>
      <c r="R62" s="631">
        <v>0.3</v>
      </c>
      <c r="S62" s="631">
        <v>0.3</v>
      </c>
      <c r="T62" s="631">
        <v>0.1</v>
      </c>
      <c r="U62" s="502"/>
      <c r="V62" s="502"/>
      <c r="W62" s="603"/>
      <c r="X62" s="597"/>
      <c r="Y62" s="602"/>
      <c r="Z62" s="654">
        <f>$Q$62/2</f>
        <v>0.15</v>
      </c>
      <c r="AA62" s="617"/>
      <c r="AB62" s="407"/>
      <c r="AC62" s="397"/>
      <c r="AD62" s="654">
        <f>$Q$62/2</f>
        <v>0.15</v>
      </c>
      <c r="AE62" s="617"/>
      <c r="AF62" s="400"/>
      <c r="AG62" s="397"/>
      <c r="AI62" s="611"/>
      <c r="AJ62" s="612"/>
      <c r="AK62" s="613"/>
    </row>
    <row r="63" spans="1:37" ht="35.1" hidden="1" customHeight="1">
      <c r="A63" s="496"/>
      <c r="B63" s="497" t="s">
        <v>502</v>
      </c>
      <c r="C63" s="497"/>
      <c r="D63" s="497"/>
      <c r="E63" s="529" t="s">
        <v>468</v>
      </c>
      <c r="F63" s="667"/>
      <c r="G63" s="504"/>
      <c r="H63" s="499"/>
      <c r="I63" s="504"/>
      <c r="J63" s="390" t="s">
        <v>366</v>
      </c>
      <c r="K63" s="390" t="s">
        <v>229</v>
      </c>
      <c r="L63" s="416" t="s">
        <v>469</v>
      </c>
      <c r="M63" s="721">
        <v>0</v>
      </c>
      <c r="N63" s="707">
        <v>1</v>
      </c>
      <c r="O63" s="505">
        <v>0</v>
      </c>
      <c r="P63" s="505"/>
      <c r="Q63" s="631">
        <v>0.3</v>
      </c>
      <c r="R63" s="631">
        <v>0.3</v>
      </c>
      <c r="S63" s="631">
        <v>0.3</v>
      </c>
      <c r="T63" s="631">
        <v>0.1</v>
      </c>
      <c r="U63" s="502"/>
      <c r="V63" s="502"/>
      <c r="W63" s="603"/>
      <c r="X63" s="597"/>
      <c r="Y63" s="602"/>
      <c r="Z63" s="654">
        <f>$Q$63/2</f>
        <v>0.15</v>
      </c>
      <c r="AA63" s="617"/>
      <c r="AB63" s="407"/>
      <c r="AC63" s="397"/>
      <c r="AD63" s="654">
        <f>$Q$63/2</f>
        <v>0.15</v>
      </c>
      <c r="AE63" s="617"/>
      <c r="AF63" s="400"/>
      <c r="AG63" s="397"/>
      <c r="AI63" s="611"/>
      <c r="AJ63" s="612"/>
      <c r="AK63" s="613"/>
    </row>
    <row r="64" spans="1:37" ht="77.45" hidden="1" customHeight="1">
      <c r="A64" s="496">
        <v>15</v>
      </c>
      <c r="B64" s="497" t="s">
        <v>450</v>
      </c>
      <c r="C64" s="497" t="s">
        <v>445</v>
      </c>
      <c r="D64" s="497"/>
      <c r="E64" s="528" t="s">
        <v>406</v>
      </c>
      <c r="F64" s="668" t="s">
        <v>679</v>
      </c>
      <c r="G64" s="504" t="s">
        <v>527</v>
      </c>
      <c r="H64" s="499" t="s">
        <v>660</v>
      </c>
      <c r="I64" s="504"/>
      <c r="J64" s="390" t="s">
        <v>366</v>
      </c>
      <c r="K64" s="390" t="s">
        <v>229</v>
      </c>
      <c r="L64" s="416" t="s">
        <v>472</v>
      </c>
      <c r="M64" s="721">
        <v>0</v>
      </c>
      <c r="N64" s="707">
        <f>SUM(N65:N66)</f>
        <v>2</v>
      </c>
      <c r="O64" s="505">
        <v>0</v>
      </c>
      <c r="P64" s="505">
        <v>0</v>
      </c>
      <c r="Q64" s="631">
        <f>SUM(Q65:Q66)</f>
        <v>0.6</v>
      </c>
      <c r="R64" s="631">
        <f t="shared" ref="R64:T64" si="21">SUM(R65:R66)</f>
        <v>0.6</v>
      </c>
      <c r="S64" s="631">
        <f t="shared" si="21"/>
        <v>0.6</v>
      </c>
      <c r="T64" s="631">
        <f t="shared" si="21"/>
        <v>0.2</v>
      </c>
      <c r="U64" s="502"/>
      <c r="V64" s="502">
        <f>'DMF PI Links Physical Prog.S1'!Q64</f>
        <v>2</v>
      </c>
      <c r="W64" s="603"/>
      <c r="X64" s="597">
        <f>'3. DMF Progress'!E28</f>
        <v>14.5</v>
      </c>
      <c r="Y64" s="602">
        <f>'3. DMF Progress'!F28</f>
        <v>0.28999999999999998</v>
      </c>
      <c r="Z64" s="654">
        <f>$Q$64/2</f>
        <v>0.3</v>
      </c>
      <c r="AA64" s="617">
        <f>'3. DMF Progress'!P28</f>
        <v>9.5</v>
      </c>
      <c r="AB64" s="658">
        <f>'3. DMF Progress'!AJ28</f>
        <v>0.19</v>
      </c>
      <c r="AC64" s="397"/>
      <c r="AD64" s="654">
        <f>$Q$64/2</f>
        <v>0.3</v>
      </c>
      <c r="AE64" s="617"/>
      <c r="AF64" s="400">
        <f t="shared" si="0"/>
        <v>0</v>
      </c>
      <c r="AG64" s="397"/>
      <c r="AI64" s="611">
        <f>W64+Z64+AD64</f>
        <v>0.6</v>
      </c>
      <c r="AJ64" s="612">
        <f>X64+AA64+AE64</f>
        <v>24</v>
      </c>
      <c r="AK64" s="688">
        <f>Y64+AB64+AF64</f>
        <v>0.48</v>
      </c>
    </row>
    <row r="65" spans="1:37" ht="35.1" hidden="1" customHeight="1">
      <c r="A65" s="496"/>
      <c r="B65" s="497" t="s">
        <v>477</v>
      </c>
      <c r="C65" s="497"/>
      <c r="D65" s="497"/>
      <c r="E65" s="529" t="s">
        <v>470</v>
      </c>
      <c r="F65" s="667"/>
      <c r="G65" s="504"/>
      <c r="H65" s="499"/>
      <c r="I65" s="504"/>
      <c r="J65" s="390" t="s">
        <v>366</v>
      </c>
      <c r="K65" s="390" t="s">
        <v>229</v>
      </c>
      <c r="L65" s="416" t="s">
        <v>472</v>
      </c>
      <c r="M65" s="721">
        <v>0</v>
      </c>
      <c r="N65" s="707">
        <v>1</v>
      </c>
      <c r="O65" s="505">
        <v>0</v>
      </c>
      <c r="P65" s="505">
        <v>0</v>
      </c>
      <c r="Q65" s="631">
        <v>0.3</v>
      </c>
      <c r="R65" s="631">
        <v>0.3</v>
      </c>
      <c r="S65" s="631">
        <v>0.3</v>
      </c>
      <c r="T65" s="631">
        <v>0.1</v>
      </c>
      <c r="U65" s="502"/>
      <c r="V65" s="502"/>
      <c r="W65" s="603"/>
      <c r="X65" s="597"/>
      <c r="Y65" s="602"/>
      <c r="Z65" s="654">
        <f>$Q$65/2</f>
        <v>0.15</v>
      </c>
      <c r="AA65" s="617"/>
      <c r="AB65" s="407"/>
      <c r="AC65" s="397"/>
      <c r="AD65" s="654">
        <f>$Q$65/2</f>
        <v>0.15</v>
      </c>
      <c r="AE65" s="617"/>
      <c r="AF65" s="400"/>
      <c r="AG65" s="397"/>
      <c r="AI65" s="611"/>
      <c r="AJ65" s="612"/>
      <c r="AK65" s="613"/>
    </row>
    <row r="66" spans="1:37" ht="51" hidden="1" customHeight="1">
      <c r="A66" s="496"/>
      <c r="B66" s="497" t="s">
        <v>478</v>
      </c>
      <c r="C66" s="497"/>
      <c r="D66" s="497"/>
      <c r="E66" s="529" t="s">
        <v>471</v>
      </c>
      <c r="F66" s="667"/>
      <c r="G66" s="504"/>
      <c r="H66" s="499"/>
      <c r="I66" s="504"/>
      <c r="J66" s="390" t="s">
        <v>366</v>
      </c>
      <c r="K66" s="390" t="s">
        <v>229</v>
      </c>
      <c r="L66" s="416" t="s">
        <v>472</v>
      </c>
      <c r="M66" s="721">
        <v>0</v>
      </c>
      <c r="N66" s="707">
        <v>1</v>
      </c>
      <c r="O66" s="505">
        <v>0</v>
      </c>
      <c r="P66" s="505">
        <v>0</v>
      </c>
      <c r="Q66" s="631">
        <v>0.3</v>
      </c>
      <c r="R66" s="631">
        <v>0.3</v>
      </c>
      <c r="S66" s="631">
        <v>0.3</v>
      </c>
      <c r="T66" s="631">
        <v>0.1</v>
      </c>
      <c r="U66" s="502"/>
      <c r="V66" s="502"/>
      <c r="W66" s="603"/>
      <c r="X66" s="597"/>
      <c r="Y66" s="602"/>
      <c r="Z66" s="654">
        <f>$Q$66/2</f>
        <v>0.15</v>
      </c>
      <c r="AA66" s="617"/>
      <c r="AB66" s="407"/>
      <c r="AC66" s="397"/>
      <c r="AD66" s="654">
        <f>$Q$66/2</f>
        <v>0.15</v>
      </c>
      <c r="AE66" s="617"/>
      <c r="AF66" s="400"/>
      <c r="AG66" s="397"/>
      <c r="AI66" s="611"/>
      <c r="AJ66" s="612"/>
      <c r="AK66" s="613"/>
    </row>
    <row r="67" spans="1:37" ht="77.45" hidden="1" customHeight="1">
      <c r="A67" s="496">
        <v>16</v>
      </c>
      <c r="B67" s="497" t="s">
        <v>451</v>
      </c>
      <c r="C67" s="497" t="s">
        <v>446</v>
      </c>
      <c r="D67" s="497"/>
      <c r="E67" s="528" t="s">
        <v>407</v>
      </c>
      <c r="F67" s="668" t="s">
        <v>679</v>
      </c>
      <c r="G67" s="504" t="s">
        <v>528</v>
      </c>
      <c r="H67" s="499" t="s">
        <v>660</v>
      </c>
      <c r="I67" s="504"/>
      <c r="J67" s="390" t="s">
        <v>366</v>
      </c>
      <c r="K67" s="390" t="s">
        <v>229</v>
      </c>
      <c r="L67" s="416" t="s">
        <v>134</v>
      </c>
      <c r="M67" s="721">
        <v>0</v>
      </c>
      <c r="N67" s="709">
        <v>50</v>
      </c>
      <c r="O67" s="640">
        <v>0</v>
      </c>
      <c r="P67" s="640">
        <v>0</v>
      </c>
      <c r="Q67" s="640">
        <v>15</v>
      </c>
      <c r="R67" s="640">
        <v>20</v>
      </c>
      <c r="S67" s="640">
        <v>15</v>
      </c>
      <c r="T67" s="640">
        <v>0</v>
      </c>
      <c r="U67" s="502"/>
      <c r="V67" s="502">
        <f>'DMF PI Links Physical Prog.S1'!Q67</f>
        <v>2</v>
      </c>
      <c r="W67" s="603"/>
      <c r="X67" s="597">
        <f>'3. DMF Progress'!E29</f>
        <v>11.5</v>
      </c>
      <c r="Y67" s="602">
        <f>'3. DMF Progress'!F29</f>
        <v>0.23</v>
      </c>
      <c r="Z67" s="654">
        <f t="shared" ref="Z67:Z74" si="22">Q67/2</f>
        <v>7.5</v>
      </c>
      <c r="AA67" s="617">
        <f>'3. DMF Progress'!P29</f>
        <v>30</v>
      </c>
      <c r="AB67" s="658">
        <f>'3. DMF Progress'!AJ29</f>
        <v>0.6</v>
      </c>
      <c r="AC67" s="397"/>
      <c r="AD67" s="654">
        <f t="shared" ref="AD67:AD74" si="23">Q67/2</f>
        <v>7.5</v>
      </c>
      <c r="AE67" s="617"/>
      <c r="AF67" s="400">
        <f t="shared" si="0"/>
        <v>0</v>
      </c>
      <c r="AG67" s="397"/>
      <c r="AI67" s="611">
        <f>W67+Z67+AD67</f>
        <v>15</v>
      </c>
      <c r="AJ67" s="612">
        <f>X67+AA67+AE67</f>
        <v>41.5</v>
      </c>
      <c r="AK67" s="688">
        <f>Y67+AB67+AF67</f>
        <v>0.83</v>
      </c>
    </row>
    <row r="68" spans="1:37" ht="43.5" hidden="1" customHeight="1">
      <c r="A68" s="496"/>
      <c r="B68" s="497" t="s">
        <v>475</v>
      </c>
      <c r="C68" s="497"/>
      <c r="D68" s="497"/>
      <c r="E68" s="529" t="s">
        <v>622</v>
      </c>
      <c r="F68" s="667"/>
      <c r="G68" s="504"/>
      <c r="H68" s="499"/>
      <c r="I68" s="504"/>
      <c r="J68" s="390" t="s">
        <v>366</v>
      </c>
      <c r="K68" s="390" t="s">
        <v>229</v>
      </c>
      <c r="L68" s="416" t="s">
        <v>134</v>
      </c>
      <c r="M68" s="721">
        <v>0</v>
      </c>
      <c r="N68" s="707">
        <f>N67/2</f>
        <v>25</v>
      </c>
      <c r="O68" s="505">
        <v>0</v>
      </c>
      <c r="P68" s="505">
        <f>P67/2</f>
        <v>0</v>
      </c>
      <c r="Q68" s="505">
        <f t="shared" ref="Q68:T68" si="24">Q67/2</f>
        <v>7.5</v>
      </c>
      <c r="R68" s="505">
        <f t="shared" si="24"/>
        <v>10</v>
      </c>
      <c r="S68" s="505">
        <f t="shared" si="24"/>
        <v>7.5</v>
      </c>
      <c r="T68" s="505">
        <f t="shared" si="24"/>
        <v>0</v>
      </c>
      <c r="U68" s="502"/>
      <c r="V68" s="502"/>
      <c r="W68" s="603"/>
      <c r="X68" s="597"/>
      <c r="Y68" s="602"/>
      <c r="Z68" s="654">
        <f t="shared" si="22"/>
        <v>3.75</v>
      </c>
      <c r="AA68" s="617"/>
      <c r="AB68" s="407"/>
      <c r="AC68" s="397"/>
      <c r="AD68" s="654">
        <f t="shared" si="23"/>
        <v>3.75</v>
      </c>
      <c r="AE68" s="617"/>
      <c r="AF68" s="400"/>
      <c r="AG68" s="397"/>
      <c r="AI68" s="611"/>
      <c r="AJ68" s="612"/>
      <c r="AK68" s="613"/>
    </row>
    <row r="69" spans="1:37" ht="48.75" hidden="1" customHeight="1">
      <c r="A69" s="496"/>
      <c r="B69" s="497" t="s">
        <v>476</v>
      </c>
      <c r="C69" s="497"/>
      <c r="D69" s="497"/>
      <c r="E69" s="529" t="s">
        <v>623</v>
      </c>
      <c r="F69" s="667"/>
      <c r="G69" s="504"/>
      <c r="H69" s="499"/>
      <c r="I69" s="504"/>
      <c r="J69" s="390" t="s">
        <v>366</v>
      </c>
      <c r="K69" s="390" t="s">
        <v>229</v>
      </c>
      <c r="L69" s="416" t="s">
        <v>134</v>
      </c>
      <c r="M69" s="721">
        <v>0</v>
      </c>
      <c r="N69" s="707">
        <f>N67/2</f>
        <v>25</v>
      </c>
      <c r="O69" s="505">
        <v>0</v>
      </c>
      <c r="P69" s="505">
        <f>P67/2</f>
        <v>0</v>
      </c>
      <c r="Q69" s="505">
        <f t="shared" ref="Q69:T69" si="25">Q67/2</f>
        <v>7.5</v>
      </c>
      <c r="R69" s="505">
        <f t="shared" si="25"/>
        <v>10</v>
      </c>
      <c r="S69" s="505">
        <f t="shared" si="25"/>
        <v>7.5</v>
      </c>
      <c r="T69" s="505">
        <f t="shared" si="25"/>
        <v>0</v>
      </c>
      <c r="U69" s="502"/>
      <c r="V69" s="502"/>
      <c r="W69" s="603"/>
      <c r="X69" s="597"/>
      <c r="Y69" s="602"/>
      <c r="Z69" s="654">
        <f t="shared" si="22"/>
        <v>3.75</v>
      </c>
      <c r="AA69" s="617"/>
      <c r="AB69" s="407"/>
      <c r="AC69" s="397"/>
      <c r="AD69" s="654">
        <f t="shared" si="23"/>
        <v>3.75</v>
      </c>
      <c r="AE69" s="617"/>
      <c r="AF69" s="400"/>
      <c r="AG69" s="397"/>
      <c r="AI69" s="611"/>
      <c r="AJ69" s="612"/>
      <c r="AK69" s="613"/>
    </row>
    <row r="70" spans="1:37" ht="77.45" hidden="1" customHeight="1">
      <c r="A70" s="496">
        <v>17</v>
      </c>
      <c r="B70" s="497" t="s">
        <v>452</v>
      </c>
      <c r="C70" s="497" t="s">
        <v>447</v>
      </c>
      <c r="D70" s="497"/>
      <c r="E70" s="528" t="s">
        <v>408</v>
      </c>
      <c r="F70" s="668" t="s">
        <v>679</v>
      </c>
      <c r="G70" s="504" t="s">
        <v>528</v>
      </c>
      <c r="H70" s="499" t="s">
        <v>660</v>
      </c>
      <c r="I70" s="504"/>
      <c r="J70" s="390" t="s">
        <v>366</v>
      </c>
      <c r="K70" s="390" t="s">
        <v>229</v>
      </c>
      <c r="L70" s="416"/>
      <c r="M70" s="721"/>
      <c r="N70" s="707">
        <v>30</v>
      </c>
      <c r="O70" s="505">
        <v>0</v>
      </c>
      <c r="P70" s="505">
        <v>0</v>
      </c>
      <c r="Q70" s="505">
        <v>10</v>
      </c>
      <c r="R70" s="505">
        <v>10</v>
      </c>
      <c r="S70" s="505">
        <v>10</v>
      </c>
      <c r="T70" s="505">
        <v>0</v>
      </c>
      <c r="U70" s="502"/>
      <c r="V70" s="502">
        <f>'DMF PI Links Physical Prog.S1'!Q70</f>
        <v>2</v>
      </c>
      <c r="W70" s="603"/>
      <c r="X70" s="597">
        <f>'3. DMF Progress'!E30</f>
        <v>5.4</v>
      </c>
      <c r="Y70" s="602">
        <f>'3. DMF Progress'!F30</f>
        <v>0.10800000000000001</v>
      </c>
      <c r="Z70" s="654">
        <f t="shared" si="22"/>
        <v>5</v>
      </c>
      <c r="AA70" s="617">
        <f>'3. DMF Progress'!P30</f>
        <v>3.6</v>
      </c>
      <c r="AB70" s="658">
        <f>'3. DMF Progress'!AJ30</f>
        <v>7.2000000000000008E-2</v>
      </c>
      <c r="AC70" s="397"/>
      <c r="AD70" s="654">
        <f t="shared" si="23"/>
        <v>5</v>
      </c>
      <c r="AE70" s="617"/>
      <c r="AF70" s="400">
        <f t="shared" si="0"/>
        <v>0</v>
      </c>
      <c r="AG70" s="397"/>
      <c r="AI70" s="611">
        <f>W70+Z70+AD70</f>
        <v>10</v>
      </c>
      <c r="AJ70" s="612">
        <f>X70+AA70+AE70</f>
        <v>9</v>
      </c>
      <c r="AK70" s="688">
        <f>Y70+AB70+AF70</f>
        <v>0.18000000000000002</v>
      </c>
    </row>
    <row r="71" spans="1:37" ht="48" hidden="1" customHeight="1">
      <c r="A71" s="496"/>
      <c r="B71" s="497"/>
      <c r="C71" s="497"/>
      <c r="D71" s="497"/>
      <c r="E71" s="529" t="s">
        <v>624</v>
      </c>
      <c r="F71" s="667"/>
      <c r="G71" s="504"/>
      <c r="H71" s="499"/>
      <c r="I71" s="504"/>
      <c r="J71" s="390" t="s">
        <v>366</v>
      </c>
      <c r="K71" s="390" t="s">
        <v>229</v>
      </c>
      <c r="L71" s="416" t="s">
        <v>134</v>
      </c>
      <c r="M71" s="721">
        <v>0</v>
      </c>
      <c r="N71" s="707">
        <f>N70/2</f>
        <v>15</v>
      </c>
      <c r="O71" s="505">
        <v>0</v>
      </c>
      <c r="P71" s="505">
        <f>P70/2</f>
        <v>0</v>
      </c>
      <c r="Q71" s="505">
        <f t="shared" ref="Q71:T71" si="26">Q70/2</f>
        <v>5</v>
      </c>
      <c r="R71" s="505">
        <f t="shared" si="26"/>
        <v>5</v>
      </c>
      <c r="S71" s="505">
        <f t="shared" si="26"/>
        <v>5</v>
      </c>
      <c r="T71" s="505">
        <f t="shared" si="26"/>
        <v>0</v>
      </c>
      <c r="U71" s="502"/>
      <c r="V71" s="502"/>
      <c r="W71" s="603"/>
      <c r="X71" s="597"/>
      <c r="Y71" s="602"/>
      <c r="Z71" s="654">
        <f t="shared" si="22"/>
        <v>2.5</v>
      </c>
      <c r="AA71" s="617"/>
      <c r="AB71" s="407"/>
      <c r="AC71" s="397"/>
      <c r="AD71" s="654">
        <f t="shared" si="23"/>
        <v>2.5</v>
      </c>
      <c r="AE71" s="617"/>
      <c r="AF71" s="400"/>
      <c r="AG71" s="397"/>
      <c r="AI71" s="611"/>
      <c r="AJ71" s="612"/>
      <c r="AK71" s="613"/>
    </row>
    <row r="72" spans="1:37" ht="48" hidden="1" customHeight="1">
      <c r="A72" s="496"/>
      <c r="B72" s="497"/>
      <c r="C72" s="497"/>
      <c r="D72" s="497"/>
      <c r="E72" s="584" t="s">
        <v>625</v>
      </c>
      <c r="F72" s="667"/>
      <c r="G72" s="504"/>
      <c r="H72" s="499"/>
      <c r="I72" s="504"/>
      <c r="J72" s="390" t="s">
        <v>366</v>
      </c>
      <c r="K72" s="390" t="s">
        <v>229</v>
      </c>
      <c r="L72" s="416" t="s">
        <v>435</v>
      </c>
      <c r="M72" s="721">
        <v>0</v>
      </c>
      <c r="N72" s="707">
        <f>N70/2</f>
        <v>15</v>
      </c>
      <c r="O72" s="505">
        <v>0</v>
      </c>
      <c r="P72" s="505">
        <f>P70/2</f>
        <v>0</v>
      </c>
      <c r="Q72" s="505">
        <f t="shared" ref="Q72:T72" si="27">Q70/2</f>
        <v>5</v>
      </c>
      <c r="R72" s="505">
        <f t="shared" si="27"/>
        <v>5</v>
      </c>
      <c r="S72" s="505">
        <f t="shared" si="27"/>
        <v>5</v>
      </c>
      <c r="T72" s="505">
        <f t="shared" si="27"/>
        <v>0</v>
      </c>
      <c r="U72" s="502"/>
      <c r="V72" s="502"/>
      <c r="W72" s="603"/>
      <c r="X72" s="597"/>
      <c r="Y72" s="602"/>
      <c r="Z72" s="654">
        <f t="shared" si="22"/>
        <v>2.5</v>
      </c>
      <c r="AA72" s="617"/>
      <c r="AB72" s="407"/>
      <c r="AC72" s="397"/>
      <c r="AD72" s="654">
        <f t="shared" si="23"/>
        <v>2.5</v>
      </c>
      <c r="AE72" s="617"/>
      <c r="AF72" s="400"/>
      <c r="AG72" s="397"/>
      <c r="AI72" s="611"/>
      <c r="AJ72" s="612"/>
      <c r="AK72" s="613"/>
    </row>
    <row r="73" spans="1:37" ht="77.45" hidden="1" customHeight="1">
      <c r="A73" s="496">
        <v>18</v>
      </c>
      <c r="B73" s="497" t="s">
        <v>453</v>
      </c>
      <c r="C73" s="497" t="s">
        <v>449</v>
      </c>
      <c r="D73" s="497"/>
      <c r="E73" s="528" t="s">
        <v>659</v>
      </c>
      <c r="F73" s="668" t="s">
        <v>679</v>
      </c>
      <c r="G73" s="504" t="s">
        <v>368</v>
      </c>
      <c r="H73" s="499" t="s">
        <v>660</v>
      </c>
      <c r="I73" s="504"/>
      <c r="J73" s="390" t="s">
        <v>366</v>
      </c>
      <c r="K73" s="390" t="s">
        <v>229</v>
      </c>
      <c r="L73" s="416" t="s">
        <v>436</v>
      </c>
      <c r="M73" s="721">
        <v>0</v>
      </c>
      <c r="N73" s="707">
        <v>20000</v>
      </c>
      <c r="O73" s="505">
        <v>0</v>
      </c>
      <c r="P73" s="505">
        <v>0</v>
      </c>
      <c r="Q73" s="505">
        <v>5500</v>
      </c>
      <c r="R73" s="505">
        <v>6000</v>
      </c>
      <c r="S73" s="505">
        <v>6000</v>
      </c>
      <c r="T73" s="505">
        <v>2500</v>
      </c>
      <c r="U73" s="502"/>
      <c r="V73" s="502">
        <f>'DMF PI Links Physical Prog.S1'!Q73</f>
        <v>2</v>
      </c>
      <c r="W73" s="603"/>
      <c r="X73" s="597">
        <f>'3. DMF Progress'!E31</f>
        <v>4.5</v>
      </c>
      <c r="Y73" s="602">
        <f>'3. DMF Progress'!F31</f>
        <v>0.09</v>
      </c>
      <c r="Z73" s="654">
        <f t="shared" si="22"/>
        <v>2750</v>
      </c>
      <c r="AA73" s="617">
        <f>'3. DMF Progress'!P31</f>
        <v>0.89999999999999991</v>
      </c>
      <c r="AB73" s="658">
        <f>'3. DMF Progress'!AJ31</f>
        <v>1.7999999999999999E-2</v>
      </c>
      <c r="AC73" s="397"/>
      <c r="AD73" s="654">
        <f t="shared" si="23"/>
        <v>2750</v>
      </c>
      <c r="AE73" s="617"/>
      <c r="AF73" s="400">
        <f t="shared" si="0"/>
        <v>0</v>
      </c>
      <c r="AG73" s="397"/>
      <c r="AI73" s="611">
        <f t="shared" ref="AI73:AK74" si="28">W73+Z73+AD73</f>
        <v>5500</v>
      </c>
      <c r="AJ73" s="612">
        <f t="shared" si="28"/>
        <v>5.4</v>
      </c>
      <c r="AK73" s="688">
        <f t="shared" si="28"/>
        <v>0.108</v>
      </c>
    </row>
    <row r="74" spans="1:37" ht="77.45" hidden="1" customHeight="1">
      <c r="A74" s="496">
        <v>19</v>
      </c>
      <c r="B74" s="497" t="s">
        <v>454</v>
      </c>
      <c r="C74" s="497" t="s">
        <v>448</v>
      </c>
      <c r="D74" s="497"/>
      <c r="E74" s="528" t="s">
        <v>409</v>
      </c>
      <c r="F74" s="668" t="s">
        <v>679</v>
      </c>
      <c r="G74" s="504" t="s">
        <v>368</v>
      </c>
      <c r="H74" s="499" t="s">
        <v>660</v>
      </c>
      <c r="I74" s="504"/>
      <c r="J74" s="415" t="s">
        <v>366</v>
      </c>
      <c r="K74" s="415" t="s">
        <v>229</v>
      </c>
      <c r="L74" s="416" t="s">
        <v>700</v>
      </c>
      <c r="M74" s="721">
        <v>0</v>
      </c>
      <c r="N74" s="707">
        <v>1</v>
      </c>
      <c r="O74" s="505">
        <v>0</v>
      </c>
      <c r="P74" s="505">
        <v>0</v>
      </c>
      <c r="Q74" s="631">
        <v>0.3</v>
      </c>
      <c r="R74" s="631">
        <v>0.3</v>
      </c>
      <c r="S74" s="631">
        <v>0.3</v>
      </c>
      <c r="T74" s="631">
        <v>0.1</v>
      </c>
      <c r="U74" s="502"/>
      <c r="V74" s="502">
        <f>'DMF PI Links Physical Prog.S1'!Q74</f>
        <v>2</v>
      </c>
      <c r="W74" s="603"/>
      <c r="X74" s="597">
        <f>'3. DMF Progress'!E32</f>
        <v>4.5</v>
      </c>
      <c r="Y74" s="602">
        <f>'3. DMF Progress'!F32</f>
        <v>0.09</v>
      </c>
      <c r="Z74" s="654">
        <f t="shared" si="22"/>
        <v>0.15</v>
      </c>
      <c r="AA74" s="617">
        <f>'3. DMF Progress'!P32</f>
        <v>0.75</v>
      </c>
      <c r="AB74" s="658">
        <f>'3. DMF Progress'!AJ32</f>
        <v>1.4999999999999999E-2</v>
      </c>
      <c r="AC74" s="397"/>
      <c r="AD74" s="654">
        <f t="shared" si="23"/>
        <v>0.15</v>
      </c>
      <c r="AE74" s="617"/>
      <c r="AF74" s="400">
        <f t="shared" si="0"/>
        <v>0</v>
      </c>
      <c r="AG74" s="397"/>
      <c r="AI74" s="611">
        <f t="shared" si="28"/>
        <v>0.3</v>
      </c>
      <c r="AJ74" s="612">
        <f t="shared" si="28"/>
        <v>5.25</v>
      </c>
      <c r="AK74" s="688">
        <f t="shared" si="28"/>
        <v>0.105</v>
      </c>
    </row>
    <row r="75" spans="1:37" ht="77.45" hidden="1" customHeight="1">
      <c r="A75" s="496"/>
      <c r="B75" s="497" t="s">
        <v>675</v>
      </c>
      <c r="C75" s="497" t="s">
        <v>673</v>
      </c>
      <c r="D75" s="660" t="s">
        <v>674</v>
      </c>
      <c r="E75" s="528" t="s">
        <v>18</v>
      </c>
      <c r="F75" s="668" t="s">
        <v>679</v>
      </c>
      <c r="G75" s="504"/>
      <c r="H75" s="499"/>
      <c r="I75" s="504"/>
      <c r="J75" s="415"/>
      <c r="K75" s="415"/>
      <c r="L75" s="416" t="s">
        <v>700</v>
      </c>
      <c r="M75" s="721"/>
      <c r="N75" s="707">
        <v>1</v>
      </c>
      <c r="O75" s="505">
        <v>0</v>
      </c>
      <c r="P75" s="505">
        <v>0</v>
      </c>
      <c r="Q75" s="631">
        <v>0.3</v>
      </c>
      <c r="R75" s="631">
        <v>0.3</v>
      </c>
      <c r="S75" s="631">
        <v>0.3</v>
      </c>
      <c r="T75" s="631">
        <v>0.1</v>
      </c>
      <c r="U75" s="502"/>
      <c r="V75" s="502">
        <f>'DMF PI Links Physical Prog.S1'!Q75</f>
        <v>3</v>
      </c>
      <c r="W75" s="500"/>
      <c r="X75" s="597">
        <f>'3. DMF Progress'!E33</f>
        <v>6.9</v>
      </c>
      <c r="Y75" s="602">
        <f>'3. DMF Progress'!F33</f>
        <v>0.20700000000000002</v>
      </c>
      <c r="Z75" s="666"/>
      <c r="AA75" s="617">
        <f>'3. DMF Progress'!P33</f>
        <v>11</v>
      </c>
      <c r="AB75" s="658">
        <f>'3. DMF Progress'!AJ33</f>
        <v>0.33</v>
      </c>
      <c r="AC75" s="397"/>
      <c r="AD75" s="654"/>
      <c r="AE75" s="617"/>
      <c r="AF75" s="400"/>
      <c r="AG75" s="397"/>
      <c r="AI75" s="611"/>
      <c r="AJ75" s="612"/>
      <c r="AK75" s="613"/>
    </row>
    <row r="76" spans="1:37" ht="1.5" hidden="1" customHeight="1">
      <c r="A76" s="520"/>
      <c r="B76" s="521"/>
      <c r="C76" s="521"/>
      <c r="D76" s="521"/>
      <c r="E76" s="522"/>
      <c r="F76" s="522"/>
      <c r="G76" s="523"/>
      <c r="H76" s="524"/>
      <c r="I76" s="523"/>
      <c r="J76" s="525"/>
      <c r="K76" s="525"/>
      <c r="L76" s="604"/>
      <c r="M76" s="710"/>
      <c r="N76" s="710"/>
      <c r="O76" s="604"/>
      <c r="P76" s="604"/>
      <c r="Q76" s="604"/>
      <c r="R76" s="604"/>
      <c r="S76" s="604"/>
      <c r="T76" s="604"/>
      <c r="U76" s="598"/>
      <c r="V76" s="701"/>
      <c r="W76" s="604"/>
      <c r="X76" s="598"/>
      <c r="Y76" s="604"/>
      <c r="Z76" s="604"/>
      <c r="AA76" s="604"/>
      <c r="AB76" s="526" t="e">
        <f t="shared" ref="AB76:AB144" si="29">AA76/Z76</f>
        <v>#DIV/0!</v>
      </c>
      <c r="AC76" s="522"/>
      <c r="AD76" s="616">
        <f>P76/2</f>
        <v>0</v>
      </c>
      <c r="AE76" s="617"/>
      <c r="AF76" s="526" t="e">
        <f t="shared" si="0"/>
        <v>#DIV/0!</v>
      </c>
      <c r="AG76" s="522"/>
      <c r="AI76" s="611"/>
      <c r="AJ76" s="612"/>
      <c r="AK76" s="613"/>
    </row>
    <row r="77" spans="1:37" ht="35.1" hidden="1" customHeight="1">
      <c r="A77" s="506"/>
      <c r="B77" s="497"/>
      <c r="C77" s="497"/>
      <c r="D77" s="497"/>
      <c r="E77" s="512" t="s">
        <v>533</v>
      </c>
      <c r="F77" s="500"/>
      <c r="G77" s="500"/>
      <c r="H77" s="500"/>
      <c r="I77" s="500"/>
      <c r="J77" s="500"/>
      <c r="K77" s="500"/>
      <c r="L77" s="500"/>
      <c r="M77" s="706"/>
      <c r="N77" s="707"/>
      <c r="O77" s="505"/>
      <c r="P77" s="505"/>
      <c r="Q77" s="505"/>
      <c r="R77" s="505"/>
      <c r="S77" s="505"/>
      <c r="T77" s="505"/>
      <c r="U77" s="502"/>
      <c r="V77" s="502"/>
      <c r="W77" s="603"/>
      <c r="X77" s="500"/>
      <c r="Y77" s="608"/>
      <c r="Z77" s="616"/>
      <c r="AA77" s="617"/>
      <c r="AB77" s="400"/>
      <c r="AC77" s="397"/>
      <c r="AD77" s="616"/>
      <c r="AE77" s="617"/>
      <c r="AF77" s="400"/>
      <c r="AG77" s="397"/>
      <c r="AI77" s="611"/>
      <c r="AJ77" s="612"/>
      <c r="AK77" s="613"/>
    </row>
    <row r="78" spans="1:37" s="572" customFormat="1" ht="35.1" customHeight="1">
      <c r="A78" s="574"/>
      <c r="B78" s="560"/>
      <c r="C78" s="560"/>
      <c r="D78" s="560"/>
      <c r="E78" s="561" t="s">
        <v>532</v>
      </c>
      <c r="F78" s="562"/>
      <c r="G78" s="563"/>
      <c r="H78" s="564"/>
      <c r="I78" s="563"/>
      <c r="J78" s="565"/>
      <c r="K78" s="565"/>
      <c r="L78" s="566"/>
      <c r="M78" s="722"/>
      <c r="N78" s="708"/>
      <c r="O78" s="567"/>
      <c r="P78" s="567"/>
      <c r="Q78" s="567"/>
      <c r="R78" s="567"/>
      <c r="S78" s="567"/>
      <c r="T78" s="567"/>
      <c r="U78" s="569"/>
      <c r="V78" s="569"/>
      <c r="W78" s="662"/>
      <c r="X78" s="614"/>
      <c r="Y78" s="663"/>
      <c r="Z78" s="627"/>
      <c r="AA78" s="628"/>
      <c r="AB78" s="630"/>
      <c r="AC78" s="562"/>
      <c r="AD78" s="627"/>
      <c r="AE78" s="628"/>
      <c r="AF78" s="630"/>
      <c r="AG78" s="562"/>
      <c r="AI78" s="611"/>
      <c r="AJ78" s="612"/>
      <c r="AK78" s="613"/>
    </row>
    <row r="79" spans="1:37" s="550" customFormat="1" ht="35.1" customHeight="1">
      <c r="A79" s="573"/>
      <c r="B79" s="542"/>
      <c r="C79" s="542"/>
      <c r="D79" s="542"/>
      <c r="E79" s="518" t="s">
        <v>534</v>
      </c>
      <c r="F79" s="543"/>
      <c r="G79" s="544"/>
      <c r="H79" s="545"/>
      <c r="I79" s="544"/>
      <c r="J79" s="546"/>
      <c r="K79" s="546"/>
      <c r="L79" s="547"/>
      <c r="M79" s="724"/>
      <c r="N79" s="711"/>
      <c r="O79" s="406"/>
      <c r="P79" s="406"/>
      <c r="Q79" s="406"/>
      <c r="R79" s="406"/>
      <c r="S79" s="406"/>
      <c r="T79" s="406"/>
      <c r="U79" s="409"/>
      <c r="V79" s="409"/>
      <c r="W79" s="622"/>
      <c r="X79" s="623"/>
      <c r="Y79" s="624"/>
      <c r="Z79" s="625"/>
      <c r="AA79" s="617"/>
      <c r="AB79" s="626"/>
      <c r="AC79" s="543"/>
      <c r="AD79" s="625"/>
      <c r="AE79" s="617"/>
      <c r="AF79" s="626"/>
      <c r="AG79" s="543"/>
      <c r="AI79" s="611"/>
      <c r="AJ79" s="612"/>
      <c r="AK79" s="613"/>
    </row>
    <row r="80" spans="1:37" ht="101.25" customHeight="1">
      <c r="A80" s="496">
        <v>1</v>
      </c>
      <c r="B80" s="497"/>
      <c r="C80" s="633" t="s">
        <v>517</v>
      </c>
      <c r="D80" s="497"/>
      <c r="E80" s="528" t="s">
        <v>738</v>
      </c>
      <c r="F80" s="668" t="s">
        <v>679</v>
      </c>
      <c r="G80" s="403" t="s">
        <v>607</v>
      </c>
      <c r="H80" s="404" t="s">
        <v>604</v>
      </c>
      <c r="I80" s="403" t="s">
        <v>531</v>
      </c>
      <c r="J80" s="390"/>
      <c r="K80" s="390"/>
      <c r="L80" s="416"/>
      <c r="M80" s="508" t="s">
        <v>515</v>
      </c>
      <c r="N80" s="712"/>
      <c r="O80" s="505"/>
      <c r="P80" s="505"/>
      <c r="Q80" s="505"/>
      <c r="R80" s="505"/>
      <c r="S80" s="505"/>
      <c r="T80" s="505"/>
      <c r="U80" s="502"/>
      <c r="V80" s="502"/>
      <c r="W80" s="603"/>
      <c r="X80" s="597"/>
      <c r="Y80" s="602"/>
      <c r="Z80" s="654">
        <f>Q80/2</f>
        <v>0</v>
      </c>
      <c r="AA80" s="617"/>
      <c r="AB80" s="400" t="e">
        <f t="shared" si="29"/>
        <v>#DIV/0!</v>
      </c>
      <c r="AC80" s="397"/>
      <c r="AD80" s="654">
        <f t="shared" ref="AD80:AD86" si="30">Q80/2</f>
        <v>0</v>
      </c>
      <c r="AE80" s="617"/>
      <c r="AF80" s="400" t="e">
        <f t="shared" si="0"/>
        <v>#DIV/0!</v>
      </c>
      <c r="AG80" s="397"/>
      <c r="AI80" s="611"/>
      <c r="AJ80" s="612"/>
      <c r="AK80" s="613"/>
    </row>
    <row r="81" spans="1:37" ht="33" customHeight="1">
      <c r="A81" s="506"/>
      <c r="B81" s="497"/>
      <c r="C81" s="497" t="s">
        <v>561</v>
      </c>
      <c r="D81" s="497"/>
      <c r="E81" s="503" t="s">
        <v>556</v>
      </c>
      <c r="F81" s="667"/>
      <c r="G81" s="403"/>
      <c r="H81" s="404"/>
      <c r="I81" s="403"/>
      <c r="J81" s="390" t="s">
        <v>365</v>
      </c>
      <c r="K81" s="390" t="s">
        <v>229</v>
      </c>
      <c r="L81" s="416" t="s">
        <v>362</v>
      </c>
      <c r="M81" s="508" t="s">
        <v>515</v>
      </c>
      <c r="N81" s="712">
        <v>40</v>
      </c>
      <c r="O81" s="505"/>
      <c r="P81" s="505"/>
      <c r="Q81" s="505"/>
      <c r="R81" s="505"/>
      <c r="S81" s="505"/>
      <c r="T81" s="505"/>
      <c r="U81" s="502"/>
      <c r="V81" s="502"/>
      <c r="W81" s="603"/>
      <c r="X81" s="597"/>
      <c r="Y81" s="602"/>
      <c r="Z81" s="654">
        <f t="shared" ref="Z81:Z86" si="31">Q81/2</f>
        <v>0</v>
      </c>
      <c r="AA81" s="617"/>
      <c r="AB81" s="400" t="e">
        <f t="shared" si="29"/>
        <v>#DIV/0!</v>
      </c>
      <c r="AC81" s="397"/>
      <c r="AD81" s="654">
        <f t="shared" si="30"/>
        <v>0</v>
      </c>
      <c r="AE81" s="617"/>
      <c r="AF81" s="400" t="e">
        <f t="shared" si="0"/>
        <v>#DIV/0!</v>
      </c>
      <c r="AG81" s="397"/>
      <c r="AI81" s="611"/>
      <c r="AJ81" s="612"/>
      <c r="AK81" s="613"/>
    </row>
    <row r="82" spans="1:37" ht="33" customHeight="1">
      <c r="A82" s="506"/>
      <c r="B82" s="497"/>
      <c r="C82" s="497"/>
      <c r="D82" s="497"/>
      <c r="E82" s="503" t="s">
        <v>558</v>
      </c>
      <c r="F82" s="667"/>
      <c r="G82" s="403"/>
      <c r="H82" s="404"/>
      <c r="I82" s="403"/>
      <c r="J82" s="390" t="s">
        <v>365</v>
      </c>
      <c r="K82" s="390" t="s">
        <v>229</v>
      </c>
      <c r="L82" s="416" t="s">
        <v>362</v>
      </c>
      <c r="M82" s="508" t="s">
        <v>515</v>
      </c>
      <c r="N82" s="712">
        <v>54</v>
      </c>
      <c r="O82" s="505"/>
      <c r="P82" s="505"/>
      <c r="Q82" s="505"/>
      <c r="R82" s="505"/>
      <c r="S82" s="505"/>
      <c r="T82" s="505"/>
      <c r="U82" s="502"/>
      <c r="V82" s="502"/>
      <c r="W82" s="603"/>
      <c r="X82" s="597"/>
      <c r="Y82" s="602"/>
      <c r="Z82" s="654">
        <f t="shared" si="31"/>
        <v>0</v>
      </c>
      <c r="AA82" s="617"/>
      <c r="AB82" s="400"/>
      <c r="AC82" s="397"/>
      <c r="AD82" s="654">
        <f t="shared" si="30"/>
        <v>0</v>
      </c>
      <c r="AE82" s="617"/>
      <c r="AF82" s="400"/>
      <c r="AG82" s="397"/>
      <c r="AI82" s="611"/>
      <c r="AJ82" s="612"/>
      <c r="AK82" s="613"/>
    </row>
    <row r="83" spans="1:37" ht="33" customHeight="1">
      <c r="A83" s="506"/>
      <c r="B83" s="497"/>
      <c r="C83" s="497"/>
      <c r="D83" s="497"/>
      <c r="E83" s="503" t="s">
        <v>559</v>
      </c>
      <c r="F83" s="667"/>
      <c r="G83" s="403"/>
      <c r="H83" s="404"/>
      <c r="I83" s="403"/>
      <c r="J83" s="390" t="s">
        <v>365</v>
      </c>
      <c r="K83" s="390" t="s">
        <v>229</v>
      </c>
      <c r="L83" s="416" t="s">
        <v>362</v>
      </c>
      <c r="M83" s="508" t="s">
        <v>515</v>
      </c>
      <c r="N83" s="712">
        <v>47</v>
      </c>
      <c r="O83" s="505"/>
      <c r="P83" s="505"/>
      <c r="Q83" s="505"/>
      <c r="R83" s="505"/>
      <c r="S83" s="505"/>
      <c r="T83" s="505"/>
      <c r="U83" s="502"/>
      <c r="V83" s="502"/>
      <c r="W83" s="603"/>
      <c r="X83" s="597"/>
      <c r="Y83" s="602"/>
      <c r="Z83" s="654">
        <f t="shared" si="31"/>
        <v>0</v>
      </c>
      <c r="AA83" s="617"/>
      <c r="AB83" s="400"/>
      <c r="AC83" s="397"/>
      <c r="AD83" s="654">
        <f t="shared" si="30"/>
        <v>0</v>
      </c>
      <c r="AE83" s="617"/>
      <c r="AF83" s="400"/>
      <c r="AG83" s="397"/>
      <c r="AI83" s="611"/>
      <c r="AJ83" s="612"/>
      <c r="AK83" s="613"/>
    </row>
    <row r="84" spans="1:37" ht="33" customHeight="1">
      <c r="A84" s="506"/>
      <c r="B84" s="497"/>
      <c r="C84" s="497"/>
      <c r="D84" s="497"/>
      <c r="E84" s="503" t="s">
        <v>560</v>
      </c>
      <c r="F84" s="667"/>
      <c r="G84" s="403"/>
      <c r="H84" s="404"/>
      <c r="I84" s="403"/>
      <c r="J84" s="390" t="s">
        <v>365</v>
      </c>
      <c r="K84" s="390" t="s">
        <v>229</v>
      </c>
      <c r="L84" s="416" t="s">
        <v>362</v>
      </c>
      <c r="M84" s="508" t="s">
        <v>515</v>
      </c>
      <c r="N84" s="712">
        <v>48</v>
      </c>
      <c r="O84" s="505"/>
      <c r="P84" s="505"/>
      <c r="Q84" s="505"/>
      <c r="R84" s="505"/>
      <c r="S84" s="505"/>
      <c r="T84" s="505"/>
      <c r="U84" s="502"/>
      <c r="V84" s="502"/>
      <c r="W84" s="603"/>
      <c r="X84" s="597"/>
      <c r="Y84" s="602"/>
      <c r="Z84" s="654">
        <f t="shared" si="31"/>
        <v>0</v>
      </c>
      <c r="AA84" s="617"/>
      <c r="AB84" s="400"/>
      <c r="AC84" s="397"/>
      <c r="AD84" s="654">
        <f t="shared" si="30"/>
        <v>0</v>
      </c>
      <c r="AE84" s="617"/>
      <c r="AF84" s="400"/>
      <c r="AG84" s="397"/>
      <c r="AI84" s="611"/>
      <c r="AJ84" s="612"/>
      <c r="AK84" s="613"/>
    </row>
    <row r="85" spans="1:37" ht="33" customHeight="1">
      <c r="A85" s="506"/>
      <c r="B85" s="497"/>
      <c r="C85" s="497"/>
      <c r="D85" s="497"/>
      <c r="E85" s="503" t="s">
        <v>557</v>
      </c>
      <c r="F85" s="667"/>
      <c r="G85" s="403"/>
      <c r="H85" s="404"/>
      <c r="I85" s="403"/>
      <c r="J85" s="390" t="s">
        <v>365</v>
      </c>
      <c r="K85" s="390" t="s">
        <v>229</v>
      </c>
      <c r="L85" s="416" t="s">
        <v>362</v>
      </c>
      <c r="M85" s="508" t="s">
        <v>515</v>
      </c>
      <c r="N85" s="712">
        <v>30</v>
      </c>
      <c r="O85" s="505"/>
      <c r="P85" s="505"/>
      <c r="Q85" s="505"/>
      <c r="R85" s="505"/>
      <c r="S85" s="505"/>
      <c r="T85" s="505"/>
      <c r="U85" s="502"/>
      <c r="V85" s="502"/>
      <c r="W85" s="603"/>
      <c r="X85" s="597"/>
      <c r="Y85" s="602"/>
      <c r="Z85" s="654">
        <f t="shared" si="31"/>
        <v>0</v>
      </c>
      <c r="AA85" s="617"/>
      <c r="AB85" s="400"/>
      <c r="AC85" s="397"/>
      <c r="AD85" s="654">
        <f t="shared" si="30"/>
        <v>0</v>
      </c>
      <c r="AE85" s="617"/>
      <c r="AF85" s="400"/>
      <c r="AG85" s="397"/>
      <c r="AI85" s="611"/>
      <c r="AJ85" s="612"/>
      <c r="AK85" s="613"/>
    </row>
    <row r="86" spans="1:37" ht="56.45" customHeight="1">
      <c r="A86" s="506"/>
      <c r="B86" s="497"/>
      <c r="C86" s="497" t="s">
        <v>562</v>
      </c>
      <c r="D86" s="497"/>
      <c r="E86" s="503" t="s">
        <v>555</v>
      </c>
      <c r="F86" s="667"/>
      <c r="G86" s="403"/>
      <c r="H86" s="404"/>
      <c r="I86" s="403"/>
      <c r="J86" s="390" t="s">
        <v>365</v>
      </c>
      <c r="K86" s="390" t="s">
        <v>229</v>
      </c>
      <c r="L86" s="416" t="s">
        <v>134</v>
      </c>
      <c r="M86" s="508" t="s">
        <v>515</v>
      </c>
      <c r="N86" s="712">
        <v>50000</v>
      </c>
      <c r="O86" s="505"/>
      <c r="P86" s="505"/>
      <c r="Q86" s="505"/>
      <c r="R86" s="505"/>
      <c r="S86" s="505"/>
      <c r="T86" s="505"/>
      <c r="U86" s="502"/>
      <c r="V86" s="502"/>
      <c r="W86" s="603"/>
      <c r="X86" s="597"/>
      <c r="Y86" s="602"/>
      <c r="Z86" s="654">
        <f t="shared" si="31"/>
        <v>0</v>
      </c>
      <c r="AA86" s="617"/>
      <c r="AB86" s="400"/>
      <c r="AC86" s="397"/>
      <c r="AD86" s="654">
        <f t="shared" si="30"/>
        <v>0</v>
      </c>
      <c r="AE86" s="617"/>
      <c r="AF86" s="400"/>
      <c r="AG86" s="397"/>
      <c r="AI86" s="611"/>
      <c r="AJ86" s="612"/>
      <c r="AK86" s="613"/>
    </row>
    <row r="87" spans="1:37" s="550" customFormat="1" ht="35.1" customHeight="1">
      <c r="A87" s="573"/>
      <c r="B87" s="542"/>
      <c r="C87" s="542"/>
      <c r="D87" s="542"/>
      <c r="E87" s="518" t="s">
        <v>535</v>
      </c>
      <c r="F87" s="543"/>
      <c r="G87" s="544"/>
      <c r="H87" s="545"/>
      <c r="I87" s="544"/>
      <c r="J87" s="546"/>
      <c r="K87" s="546"/>
      <c r="L87" s="547"/>
      <c r="M87" s="724"/>
      <c r="N87" s="711"/>
      <c r="O87" s="406"/>
      <c r="P87" s="406"/>
      <c r="Q87" s="406"/>
      <c r="R87" s="406"/>
      <c r="S87" s="406"/>
      <c r="T87" s="406"/>
      <c r="U87" s="409"/>
      <c r="V87" s="409"/>
      <c r="W87" s="622"/>
      <c r="X87" s="623"/>
      <c r="Y87" s="624"/>
      <c r="Z87" s="625"/>
      <c r="AA87" s="617"/>
      <c r="AB87" s="626"/>
      <c r="AC87" s="543"/>
      <c r="AD87" s="625"/>
      <c r="AE87" s="617"/>
      <c r="AF87" s="626"/>
      <c r="AG87" s="543"/>
      <c r="AI87" s="611"/>
      <c r="AJ87" s="612"/>
      <c r="AK87" s="613"/>
    </row>
    <row r="88" spans="1:37" ht="78" customHeight="1">
      <c r="A88" s="496">
        <v>2</v>
      </c>
      <c r="B88" s="497"/>
      <c r="C88" s="497" t="s">
        <v>529</v>
      </c>
      <c r="D88" s="497"/>
      <c r="E88" s="528" t="s">
        <v>563</v>
      </c>
      <c r="F88" s="668" t="s">
        <v>679</v>
      </c>
      <c r="G88" s="403" t="s">
        <v>607</v>
      </c>
      <c r="H88" s="404" t="s">
        <v>604</v>
      </c>
      <c r="I88" s="403" t="s">
        <v>530</v>
      </c>
      <c r="J88" s="390" t="s">
        <v>365</v>
      </c>
      <c r="K88" s="390" t="s">
        <v>229</v>
      </c>
      <c r="L88" s="416" t="s">
        <v>362</v>
      </c>
      <c r="M88" s="508" t="s">
        <v>515</v>
      </c>
      <c r="N88" s="712">
        <v>25</v>
      </c>
      <c r="O88" s="505"/>
      <c r="P88" s="505"/>
      <c r="Q88" s="505"/>
      <c r="R88" s="505"/>
      <c r="S88" s="505"/>
      <c r="T88" s="505"/>
      <c r="U88" s="502"/>
      <c r="V88" s="502"/>
      <c r="W88" s="603"/>
      <c r="X88" s="597"/>
      <c r="Y88" s="602"/>
      <c r="Z88" s="654">
        <f>Q88/2</f>
        <v>0</v>
      </c>
      <c r="AA88" s="617"/>
      <c r="AB88" s="400" t="e">
        <f t="shared" si="29"/>
        <v>#DIV/0!</v>
      </c>
      <c r="AC88" s="397"/>
      <c r="AD88" s="654">
        <f>Q88/2</f>
        <v>0</v>
      </c>
      <c r="AE88" s="617"/>
      <c r="AF88" s="400" t="e">
        <f t="shared" si="0"/>
        <v>#DIV/0!</v>
      </c>
      <c r="AG88" s="397"/>
      <c r="AI88" s="611"/>
      <c r="AJ88" s="612"/>
      <c r="AK88" s="613"/>
    </row>
    <row r="89" spans="1:37" ht="42.75" customHeight="1">
      <c r="A89" s="506"/>
      <c r="B89" s="497"/>
      <c r="C89" s="497"/>
      <c r="D89" s="497"/>
      <c r="E89" s="529" t="s">
        <v>637</v>
      </c>
      <c r="F89" s="667"/>
      <c r="G89" s="403"/>
      <c r="H89" s="404"/>
      <c r="I89" s="403"/>
      <c r="J89" s="390" t="s">
        <v>365</v>
      </c>
      <c r="K89" s="390" t="s">
        <v>229</v>
      </c>
      <c r="L89" s="416" t="s">
        <v>362</v>
      </c>
      <c r="M89" s="508" t="s">
        <v>515</v>
      </c>
      <c r="N89" s="712">
        <v>25</v>
      </c>
      <c r="O89" s="505"/>
      <c r="P89" s="505"/>
      <c r="Q89" s="505"/>
      <c r="R89" s="505"/>
      <c r="S89" s="505"/>
      <c r="T89" s="505"/>
      <c r="U89" s="502"/>
      <c r="V89" s="502"/>
      <c r="W89" s="603"/>
      <c r="X89" s="597"/>
      <c r="Y89" s="602"/>
      <c r="Z89" s="654">
        <f>Q89/2</f>
        <v>0</v>
      </c>
      <c r="AA89" s="617"/>
      <c r="AB89" s="400"/>
      <c r="AC89" s="397"/>
      <c r="AD89" s="654">
        <f>Q89/2</f>
        <v>0</v>
      </c>
      <c r="AE89" s="617"/>
      <c r="AF89" s="400"/>
      <c r="AG89" s="397"/>
      <c r="AI89" s="611"/>
      <c r="AJ89" s="612"/>
      <c r="AK89" s="613"/>
    </row>
    <row r="90" spans="1:37" ht="43.5" customHeight="1">
      <c r="A90" s="506"/>
      <c r="B90" s="497"/>
      <c r="C90" s="497"/>
      <c r="D90" s="497"/>
      <c r="E90" s="529" t="s">
        <v>638</v>
      </c>
      <c r="F90" s="667"/>
      <c r="G90" s="403"/>
      <c r="H90" s="404"/>
      <c r="I90" s="403"/>
      <c r="J90" s="390" t="s">
        <v>365</v>
      </c>
      <c r="K90" s="390" t="s">
        <v>229</v>
      </c>
      <c r="L90" s="416" t="s">
        <v>362</v>
      </c>
      <c r="M90" s="508" t="s">
        <v>515</v>
      </c>
      <c r="N90" s="712"/>
      <c r="O90" s="505"/>
      <c r="P90" s="505"/>
      <c r="Q90" s="505"/>
      <c r="R90" s="505"/>
      <c r="S90" s="505"/>
      <c r="T90" s="505"/>
      <c r="U90" s="502"/>
      <c r="V90" s="502"/>
      <c r="W90" s="603"/>
      <c r="X90" s="597"/>
      <c r="Y90" s="602"/>
      <c r="Z90" s="654">
        <f>Q90/2</f>
        <v>0</v>
      </c>
      <c r="AA90" s="617"/>
      <c r="AB90" s="400"/>
      <c r="AC90" s="397"/>
      <c r="AD90" s="654">
        <f>Q90/2</f>
        <v>0</v>
      </c>
      <c r="AE90" s="617"/>
      <c r="AF90" s="400"/>
      <c r="AG90" s="397"/>
      <c r="AI90" s="611"/>
      <c r="AJ90" s="612"/>
      <c r="AK90" s="613"/>
    </row>
    <row r="91" spans="1:37" ht="80.25" customHeight="1">
      <c r="A91" s="506"/>
      <c r="B91" s="497"/>
      <c r="C91" s="497"/>
      <c r="D91" s="497"/>
      <c r="E91" s="529" t="s">
        <v>639</v>
      </c>
      <c r="F91" s="667"/>
      <c r="G91" s="403"/>
      <c r="H91" s="404"/>
      <c r="I91" s="403"/>
      <c r="J91" s="390" t="s">
        <v>365</v>
      </c>
      <c r="K91" s="390" t="s">
        <v>229</v>
      </c>
      <c r="L91" s="416" t="s">
        <v>362</v>
      </c>
      <c r="M91" s="508" t="s">
        <v>515</v>
      </c>
      <c r="N91" s="712" t="s">
        <v>564</v>
      </c>
      <c r="O91" s="505"/>
      <c r="P91" s="505"/>
      <c r="Q91" s="505"/>
      <c r="R91" s="505"/>
      <c r="S91" s="505"/>
      <c r="T91" s="505"/>
      <c r="U91" s="502"/>
      <c r="V91" s="502"/>
      <c r="W91" s="603"/>
      <c r="X91" s="597"/>
      <c r="Y91" s="602"/>
      <c r="Z91" s="654">
        <f>Q91/2</f>
        <v>0</v>
      </c>
      <c r="AA91" s="617"/>
      <c r="AB91" s="400"/>
      <c r="AC91" s="397"/>
      <c r="AD91" s="654">
        <f>Q91/2</f>
        <v>0</v>
      </c>
      <c r="AE91" s="617"/>
      <c r="AF91" s="400"/>
      <c r="AG91" s="397"/>
      <c r="AI91" s="611"/>
      <c r="AJ91" s="612"/>
      <c r="AK91" s="613"/>
    </row>
    <row r="92" spans="1:37" ht="43.15" customHeight="1">
      <c r="A92" s="496">
        <v>3</v>
      </c>
      <c r="B92" s="497"/>
      <c r="C92" s="497" t="s">
        <v>537</v>
      </c>
      <c r="D92" s="497"/>
      <c r="E92" s="498" t="s">
        <v>536</v>
      </c>
      <c r="F92" s="668" t="s">
        <v>679</v>
      </c>
      <c r="G92" s="403" t="s">
        <v>607</v>
      </c>
      <c r="H92" s="404" t="s">
        <v>604</v>
      </c>
      <c r="I92" s="403" t="s">
        <v>538</v>
      </c>
      <c r="J92" s="390" t="s">
        <v>365</v>
      </c>
      <c r="K92" s="390" t="s">
        <v>229</v>
      </c>
      <c r="L92" s="416" t="s">
        <v>362</v>
      </c>
      <c r="M92" s="508" t="s">
        <v>515</v>
      </c>
      <c r="N92" s="712">
        <v>30</v>
      </c>
      <c r="O92" s="505"/>
      <c r="P92" s="505"/>
      <c r="Q92" s="505"/>
      <c r="R92" s="505"/>
      <c r="S92" s="505"/>
      <c r="T92" s="505"/>
      <c r="U92" s="502"/>
      <c r="V92" s="502"/>
      <c r="W92" s="603"/>
      <c r="X92" s="597"/>
      <c r="Y92" s="602"/>
      <c r="Z92" s="654">
        <f>Q92/2</f>
        <v>0</v>
      </c>
      <c r="AA92" s="617"/>
      <c r="AB92" s="400" t="e">
        <f t="shared" si="29"/>
        <v>#DIV/0!</v>
      </c>
      <c r="AC92" s="397"/>
      <c r="AD92" s="654">
        <f>Q92/2</f>
        <v>0</v>
      </c>
      <c r="AE92" s="617"/>
      <c r="AF92" s="400" t="e">
        <f t="shared" si="0"/>
        <v>#DIV/0!</v>
      </c>
      <c r="AG92" s="397"/>
      <c r="AI92" s="611"/>
      <c r="AJ92" s="612"/>
      <c r="AK92" s="613"/>
    </row>
    <row r="93" spans="1:37" s="550" customFormat="1" ht="35.1" customHeight="1">
      <c r="A93" s="573"/>
      <c r="B93" s="542"/>
      <c r="C93" s="542"/>
      <c r="D93" s="542"/>
      <c r="E93" s="518" t="s">
        <v>539</v>
      </c>
      <c r="F93" s="543"/>
      <c r="G93" s="544"/>
      <c r="H93" s="545"/>
      <c r="I93" s="544"/>
      <c r="J93" s="546"/>
      <c r="K93" s="546"/>
      <c r="L93" s="547"/>
      <c r="M93" s="724"/>
      <c r="N93" s="711"/>
      <c r="O93" s="406"/>
      <c r="P93" s="406"/>
      <c r="Q93" s="406"/>
      <c r="R93" s="406"/>
      <c r="S93" s="406"/>
      <c r="T93" s="406"/>
      <c r="U93" s="409"/>
      <c r="V93" s="409"/>
      <c r="W93" s="622"/>
      <c r="X93" s="623"/>
      <c r="Y93" s="624"/>
      <c r="Z93" s="625"/>
      <c r="AA93" s="617"/>
      <c r="AB93" s="626"/>
      <c r="AC93" s="543"/>
      <c r="AD93" s="625"/>
      <c r="AE93" s="617"/>
      <c r="AF93" s="626"/>
      <c r="AG93" s="543"/>
      <c r="AI93" s="611"/>
      <c r="AJ93" s="612"/>
      <c r="AK93" s="613"/>
    </row>
    <row r="94" spans="1:37" ht="66" customHeight="1">
      <c r="A94" s="496">
        <v>4</v>
      </c>
      <c r="B94" s="497"/>
      <c r="C94" s="633" t="s">
        <v>565</v>
      </c>
      <c r="D94" s="497"/>
      <c r="E94" s="528" t="s">
        <v>580</v>
      </c>
      <c r="F94" s="668" t="s">
        <v>679</v>
      </c>
      <c r="G94" s="403" t="s">
        <v>607</v>
      </c>
      <c r="H94" s="404" t="s">
        <v>604</v>
      </c>
      <c r="I94" s="403" t="s">
        <v>540</v>
      </c>
      <c r="J94" s="390" t="s">
        <v>365</v>
      </c>
      <c r="K94" s="390" t="s">
        <v>229</v>
      </c>
      <c r="L94" s="416"/>
      <c r="M94" s="712"/>
      <c r="N94" s="712"/>
      <c r="O94" s="505"/>
      <c r="P94" s="505"/>
      <c r="Q94" s="505"/>
      <c r="R94" s="505"/>
      <c r="S94" s="505"/>
      <c r="T94" s="505"/>
      <c r="U94" s="502"/>
      <c r="V94" s="502"/>
      <c r="W94" s="603"/>
      <c r="X94" s="597"/>
      <c r="Y94" s="602"/>
      <c r="Z94" s="654">
        <f t="shared" ref="Z94:Z100" si="32">Q94/2</f>
        <v>0</v>
      </c>
      <c r="AA94" s="617"/>
      <c r="AB94" s="400" t="e">
        <f t="shared" si="29"/>
        <v>#DIV/0!</v>
      </c>
      <c r="AC94" s="397"/>
      <c r="AD94" s="654">
        <f t="shared" ref="AD94:AD100" si="33">Q94/2</f>
        <v>0</v>
      </c>
      <c r="AE94" s="617"/>
      <c r="AF94" s="400" t="e">
        <f t="shared" si="0"/>
        <v>#DIV/0!</v>
      </c>
      <c r="AG94" s="397"/>
      <c r="AI94" s="611"/>
      <c r="AJ94" s="612"/>
      <c r="AK94" s="613"/>
    </row>
    <row r="95" spans="1:37" ht="66" customHeight="1">
      <c r="A95" s="506"/>
      <c r="B95" s="497"/>
      <c r="C95" s="497"/>
      <c r="D95" s="497"/>
      <c r="E95" s="529" t="s">
        <v>566</v>
      </c>
      <c r="F95" s="667"/>
      <c r="G95" s="403"/>
      <c r="H95" s="404"/>
      <c r="I95" s="403"/>
      <c r="J95" s="390" t="s">
        <v>365</v>
      </c>
      <c r="K95" s="390" t="s">
        <v>229</v>
      </c>
      <c r="L95" s="416" t="s">
        <v>435</v>
      </c>
      <c r="M95" s="712">
        <v>5721</v>
      </c>
      <c r="N95" s="712">
        <v>40000</v>
      </c>
      <c r="O95" s="505"/>
      <c r="P95" s="505"/>
      <c r="Q95" s="505"/>
      <c r="R95" s="505"/>
      <c r="S95" s="505"/>
      <c r="T95" s="505"/>
      <c r="U95" s="502"/>
      <c r="V95" s="502"/>
      <c r="W95" s="603"/>
      <c r="X95" s="597"/>
      <c r="Y95" s="602"/>
      <c r="Z95" s="654">
        <f t="shared" si="32"/>
        <v>0</v>
      </c>
      <c r="AA95" s="617"/>
      <c r="AB95" s="400"/>
      <c r="AC95" s="397"/>
      <c r="AD95" s="654">
        <f t="shared" si="33"/>
        <v>0</v>
      </c>
      <c r="AE95" s="617"/>
      <c r="AF95" s="400"/>
      <c r="AG95" s="397"/>
      <c r="AI95" s="611"/>
      <c r="AJ95" s="612"/>
      <c r="AK95" s="613"/>
    </row>
    <row r="96" spans="1:37" ht="66" customHeight="1">
      <c r="A96" s="506"/>
      <c r="B96" s="497"/>
      <c r="C96" s="497"/>
      <c r="D96" s="497"/>
      <c r="E96" s="529" t="s">
        <v>633</v>
      </c>
      <c r="F96" s="667"/>
      <c r="G96" s="403"/>
      <c r="H96" s="404"/>
      <c r="I96" s="403"/>
      <c r="J96" s="390" t="s">
        <v>365</v>
      </c>
      <c r="K96" s="390" t="s">
        <v>229</v>
      </c>
      <c r="L96" s="416" t="s">
        <v>435</v>
      </c>
      <c r="M96" s="725">
        <f>25%*M95</f>
        <v>1430.25</v>
      </c>
      <c r="N96" s="712">
        <f>25%*N95</f>
        <v>10000</v>
      </c>
      <c r="O96" s="505"/>
      <c r="P96" s="505"/>
      <c r="Q96" s="505"/>
      <c r="R96" s="505"/>
      <c r="S96" s="505"/>
      <c r="T96" s="505"/>
      <c r="U96" s="502"/>
      <c r="V96" s="502"/>
      <c r="W96" s="603"/>
      <c r="X96" s="597"/>
      <c r="Y96" s="602"/>
      <c r="Z96" s="654">
        <f t="shared" si="32"/>
        <v>0</v>
      </c>
      <c r="AA96" s="617"/>
      <c r="AB96" s="400"/>
      <c r="AC96" s="397"/>
      <c r="AD96" s="654">
        <f t="shared" si="33"/>
        <v>0</v>
      </c>
      <c r="AE96" s="617"/>
      <c r="AF96" s="400"/>
      <c r="AG96" s="397"/>
      <c r="AI96" s="611"/>
      <c r="AJ96" s="612"/>
      <c r="AK96" s="613"/>
    </row>
    <row r="97" spans="1:37" ht="66" customHeight="1">
      <c r="A97" s="506"/>
      <c r="B97" s="497"/>
      <c r="C97" s="497"/>
      <c r="D97" s="497"/>
      <c r="E97" s="529" t="s">
        <v>634</v>
      </c>
      <c r="F97" s="667"/>
      <c r="G97" s="403"/>
      <c r="H97" s="404"/>
      <c r="I97" s="403"/>
      <c r="J97" s="390" t="s">
        <v>365</v>
      </c>
      <c r="K97" s="390" t="s">
        <v>229</v>
      </c>
      <c r="L97" s="416" t="s">
        <v>435</v>
      </c>
      <c r="M97" s="725">
        <f>25%*M95</f>
        <v>1430.25</v>
      </c>
      <c r="N97" s="712">
        <f>25%*N95</f>
        <v>10000</v>
      </c>
      <c r="O97" s="505"/>
      <c r="P97" s="505"/>
      <c r="Q97" s="505"/>
      <c r="R97" s="505"/>
      <c r="S97" s="505"/>
      <c r="T97" s="505"/>
      <c r="U97" s="502"/>
      <c r="V97" s="502"/>
      <c r="W97" s="603"/>
      <c r="X97" s="597"/>
      <c r="Y97" s="602"/>
      <c r="Z97" s="654">
        <f t="shared" si="32"/>
        <v>0</v>
      </c>
      <c r="AA97" s="617"/>
      <c r="AB97" s="400"/>
      <c r="AC97" s="397"/>
      <c r="AD97" s="654">
        <f t="shared" si="33"/>
        <v>0</v>
      </c>
      <c r="AE97" s="617"/>
      <c r="AF97" s="400"/>
      <c r="AG97" s="397"/>
      <c r="AI97" s="611"/>
      <c r="AJ97" s="612"/>
      <c r="AK97" s="613"/>
    </row>
    <row r="98" spans="1:37" ht="43.15" customHeight="1">
      <c r="A98" s="496">
        <v>5</v>
      </c>
      <c r="B98" s="497"/>
      <c r="C98" s="497" t="s">
        <v>567</v>
      </c>
      <c r="D98" s="497"/>
      <c r="E98" s="528" t="s">
        <v>581</v>
      </c>
      <c r="F98" s="668" t="s">
        <v>679</v>
      </c>
      <c r="G98" s="403" t="s">
        <v>607</v>
      </c>
      <c r="H98" s="404" t="s">
        <v>604</v>
      </c>
      <c r="I98" s="403" t="s">
        <v>541</v>
      </c>
      <c r="J98" s="390" t="s">
        <v>365</v>
      </c>
      <c r="K98" s="390" t="s">
        <v>229</v>
      </c>
      <c r="L98" s="416" t="s">
        <v>362</v>
      </c>
      <c r="M98" s="508" t="s">
        <v>515</v>
      </c>
      <c r="N98" s="712"/>
      <c r="O98" s="505"/>
      <c r="P98" s="505"/>
      <c r="Q98" s="505"/>
      <c r="R98" s="505"/>
      <c r="S98" s="505"/>
      <c r="T98" s="505"/>
      <c r="U98" s="502"/>
      <c r="V98" s="502"/>
      <c r="W98" s="603"/>
      <c r="X98" s="597"/>
      <c r="Y98" s="602"/>
      <c r="Z98" s="654">
        <f t="shared" si="32"/>
        <v>0</v>
      </c>
      <c r="AA98" s="617"/>
      <c r="AB98" s="400" t="e">
        <f t="shared" si="29"/>
        <v>#DIV/0!</v>
      </c>
      <c r="AC98" s="397"/>
      <c r="AD98" s="654">
        <f t="shared" si="33"/>
        <v>0</v>
      </c>
      <c r="AE98" s="617"/>
      <c r="AF98" s="400" t="e">
        <f t="shared" si="0"/>
        <v>#DIV/0!</v>
      </c>
      <c r="AG98" s="397"/>
      <c r="AI98" s="611"/>
      <c r="AJ98" s="612"/>
      <c r="AK98" s="613"/>
    </row>
    <row r="99" spans="1:37" ht="43.15" customHeight="1">
      <c r="A99" s="506"/>
      <c r="B99" s="497"/>
      <c r="C99" s="497"/>
      <c r="D99" s="497"/>
      <c r="E99" s="529" t="s">
        <v>635</v>
      </c>
      <c r="F99" s="667" t="s">
        <v>570</v>
      </c>
      <c r="G99" s="403"/>
      <c r="H99" s="404"/>
      <c r="I99" s="403"/>
      <c r="J99" s="390" t="s">
        <v>365</v>
      </c>
      <c r="K99" s="390" t="s">
        <v>229</v>
      </c>
      <c r="L99" s="416" t="s">
        <v>435</v>
      </c>
      <c r="M99" s="508" t="s">
        <v>515</v>
      </c>
      <c r="N99" s="713" t="s">
        <v>568</v>
      </c>
      <c r="O99" s="505"/>
      <c r="P99" s="505"/>
      <c r="Q99" s="505"/>
      <c r="R99" s="505"/>
      <c r="S99" s="505"/>
      <c r="T99" s="505"/>
      <c r="U99" s="502"/>
      <c r="V99" s="502"/>
      <c r="W99" s="603"/>
      <c r="X99" s="597"/>
      <c r="Y99" s="602"/>
      <c r="Z99" s="654">
        <f t="shared" si="32"/>
        <v>0</v>
      </c>
      <c r="AA99" s="617"/>
      <c r="AB99" s="400"/>
      <c r="AC99" s="397"/>
      <c r="AD99" s="654">
        <f t="shared" si="33"/>
        <v>0</v>
      </c>
      <c r="AE99" s="617"/>
      <c r="AF99" s="400"/>
      <c r="AG99" s="397"/>
      <c r="AI99" s="611"/>
      <c r="AJ99" s="612"/>
      <c r="AK99" s="613"/>
    </row>
    <row r="100" spans="1:37" ht="43.15" customHeight="1">
      <c r="A100" s="506"/>
      <c r="B100" s="497"/>
      <c r="C100" s="497"/>
      <c r="D100" s="497"/>
      <c r="E100" s="529" t="s">
        <v>636</v>
      </c>
      <c r="F100" s="667" t="s">
        <v>570</v>
      </c>
      <c r="G100" s="403"/>
      <c r="H100" s="404"/>
      <c r="I100" s="403"/>
      <c r="J100" s="390" t="s">
        <v>365</v>
      </c>
      <c r="K100" s="390" t="s">
        <v>229</v>
      </c>
      <c r="L100" s="416" t="s">
        <v>362</v>
      </c>
      <c r="M100" s="508" t="s">
        <v>515</v>
      </c>
      <c r="N100" s="713" t="s">
        <v>568</v>
      </c>
      <c r="O100" s="505"/>
      <c r="P100" s="505"/>
      <c r="Q100" s="505"/>
      <c r="R100" s="505"/>
      <c r="S100" s="505"/>
      <c r="T100" s="505"/>
      <c r="U100" s="502"/>
      <c r="V100" s="502"/>
      <c r="W100" s="603"/>
      <c r="X100" s="597"/>
      <c r="Y100" s="602"/>
      <c r="Z100" s="654">
        <f t="shared" si="32"/>
        <v>0</v>
      </c>
      <c r="AA100" s="617"/>
      <c r="AB100" s="400"/>
      <c r="AC100" s="397"/>
      <c r="AD100" s="654">
        <f t="shared" si="33"/>
        <v>0</v>
      </c>
      <c r="AE100" s="617"/>
      <c r="AF100" s="400"/>
      <c r="AG100" s="397"/>
      <c r="AI100" s="611"/>
      <c r="AJ100" s="612"/>
      <c r="AK100" s="613"/>
    </row>
    <row r="101" spans="1:37" s="550" customFormat="1" ht="35.1" customHeight="1">
      <c r="A101" s="573"/>
      <c r="B101" s="551"/>
      <c r="C101" s="551"/>
      <c r="D101" s="551"/>
      <c r="E101" s="561" t="s">
        <v>542</v>
      </c>
      <c r="F101" s="552"/>
      <c r="G101" s="553"/>
      <c r="H101" s="554"/>
      <c r="I101" s="553"/>
      <c r="J101" s="555"/>
      <c r="K101" s="555"/>
      <c r="L101" s="556"/>
      <c r="M101" s="726"/>
      <c r="N101" s="714"/>
      <c r="O101" s="614"/>
      <c r="P101" s="614"/>
      <c r="Q101" s="614"/>
      <c r="R101" s="614"/>
      <c r="S101" s="614"/>
      <c r="T101" s="614"/>
      <c r="U101" s="615"/>
      <c r="V101" s="615"/>
      <c r="W101" s="662"/>
      <c r="X101" s="664"/>
      <c r="Y101" s="665"/>
      <c r="Z101" s="627"/>
      <c r="AA101" s="628"/>
      <c r="AB101" s="629"/>
      <c r="AC101" s="552"/>
      <c r="AD101" s="627"/>
      <c r="AE101" s="628"/>
      <c r="AF101" s="629"/>
      <c r="AG101" s="552"/>
      <c r="AI101" s="611"/>
      <c r="AJ101" s="612"/>
      <c r="AK101" s="613"/>
    </row>
    <row r="102" spans="1:37" s="550" customFormat="1" ht="35.1" customHeight="1">
      <c r="A102" s="573"/>
      <c r="B102" s="542"/>
      <c r="C102" s="542"/>
      <c r="D102" s="542"/>
      <c r="E102" s="518" t="s">
        <v>543</v>
      </c>
      <c r="F102" s="543"/>
      <c r="G102" s="544"/>
      <c r="H102" s="545"/>
      <c r="I102" s="544"/>
      <c r="J102" s="546"/>
      <c r="K102" s="546"/>
      <c r="L102" s="547"/>
      <c r="M102" s="724"/>
      <c r="N102" s="711"/>
      <c r="O102" s="406"/>
      <c r="P102" s="406"/>
      <c r="Q102" s="406"/>
      <c r="R102" s="406"/>
      <c r="S102" s="406"/>
      <c r="T102" s="406"/>
      <c r="U102" s="409"/>
      <c r="V102" s="409"/>
      <c r="W102" s="622"/>
      <c r="X102" s="623"/>
      <c r="Y102" s="624"/>
      <c r="Z102" s="625"/>
      <c r="AA102" s="617"/>
      <c r="AB102" s="626"/>
      <c r="AC102" s="543"/>
      <c r="AD102" s="625"/>
      <c r="AE102" s="617"/>
      <c r="AF102" s="626"/>
      <c r="AG102" s="543"/>
      <c r="AI102" s="611"/>
      <c r="AJ102" s="612"/>
      <c r="AK102" s="613"/>
    </row>
    <row r="103" spans="1:37" ht="43.15" customHeight="1">
      <c r="A103" s="496">
        <v>6</v>
      </c>
      <c r="B103" s="497"/>
      <c r="C103" s="497" t="s">
        <v>571</v>
      </c>
      <c r="D103" s="497"/>
      <c r="E103" s="528" t="s">
        <v>613</v>
      </c>
      <c r="F103" s="668" t="s">
        <v>679</v>
      </c>
      <c r="G103" s="403" t="s">
        <v>607</v>
      </c>
      <c r="H103" s="404" t="s">
        <v>604</v>
      </c>
      <c r="I103" s="403" t="s">
        <v>538</v>
      </c>
      <c r="J103" s="390" t="s">
        <v>365</v>
      </c>
      <c r="K103" s="390" t="s">
        <v>229</v>
      </c>
      <c r="L103" s="416"/>
      <c r="M103" s="508" t="s">
        <v>515</v>
      </c>
      <c r="N103" s="712"/>
      <c r="O103" s="505"/>
      <c r="P103" s="505"/>
      <c r="Q103" s="505"/>
      <c r="R103" s="505"/>
      <c r="S103" s="505"/>
      <c r="T103" s="505"/>
      <c r="U103" s="502"/>
      <c r="V103" s="502"/>
      <c r="W103" s="603"/>
      <c r="X103" s="597"/>
      <c r="Y103" s="602"/>
      <c r="Z103" s="654">
        <f t="shared" ref="Z103:Z119" si="34">Q103/2</f>
        <v>0</v>
      </c>
      <c r="AA103" s="617"/>
      <c r="AB103" s="400" t="e">
        <f t="shared" si="29"/>
        <v>#DIV/0!</v>
      </c>
      <c r="AC103" s="397"/>
      <c r="AD103" s="654">
        <f t="shared" ref="AD103:AD119" si="35">Q103/2</f>
        <v>0</v>
      </c>
      <c r="AE103" s="617"/>
      <c r="AF103" s="400" t="e">
        <f t="shared" si="0"/>
        <v>#DIV/0!</v>
      </c>
      <c r="AG103" s="397"/>
      <c r="AI103" s="611"/>
      <c r="AJ103" s="612"/>
      <c r="AK103" s="613"/>
    </row>
    <row r="104" spans="1:37" ht="43.15" customHeight="1">
      <c r="A104" s="506"/>
      <c r="B104" s="497"/>
      <c r="C104" s="497"/>
      <c r="D104" s="497"/>
      <c r="E104" s="503" t="s">
        <v>572</v>
      </c>
      <c r="F104" s="667" t="s">
        <v>570</v>
      </c>
      <c r="G104" s="403"/>
      <c r="H104" s="404"/>
      <c r="I104" s="403"/>
      <c r="J104" s="390" t="s">
        <v>365</v>
      </c>
      <c r="K104" s="390" t="s">
        <v>229</v>
      </c>
      <c r="L104" s="416" t="s">
        <v>435</v>
      </c>
      <c r="M104" s="508" t="s">
        <v>515</v>
      </c>
      <c r="N104" s="713" t="s">
        <v>568</v>
      </c>
      <c r="O104" s="505"/>
      <c r="P104" s="505"/>
      <c r="Q104" s="505"/>
      <c r="R104" s="505"/>
      <c r="S104" s="505"/>
      <c r="T104" s="505"/>
      <c r="U104" s="502"/>
      <c r="V104" s="502"/>
      <c r="W104" s="603"/>
      <c r="X104" s="597"/>
      <c r="Y104" s="602"/>
      <c r="Z104" s="654">
        <f t="shared" si="34"/>
        <v>0</v>
      </c>
      <c r="AA104" s="617"/>
      <c r="AB104" s="400"/>
      <c r="AC104" s="397"/>
      <c r="AD104" s="654">
        <f t="shared" si="35"/>
        <v>0</v>
      </c>
      <c r="AE104" s="617"/>
      <c r="AF104" s="400"/>
      <c r="AG104" s="397"/>
      <c r="AI104" s="611"/>
      <c r="AJ104" s="612"/>
      <c r="AK104" s="613"/>
    </row>
    <row r="105" spans="1:37" ht="43.15" customHeight="1">
      <c r="A105" s="506"/>
      <c r="B105" s="497"/>
      <c r="C105" s="497"/>
      <c r="D105" s="497"/>
      <c r="E105" s="503" t="s">
        <v>573</v>
      </c>
      <c r="F105" s="667" t="s">
        <v>570</v>
      </c>
      <c r="G105" s="403"/>
      <c r="H105" s="404"/>
      <c r="I105" s="403"/>
      <c r="J105" s="390" t="s">
        <v>365</v>
      </c>
      <c r="K105" s="390" t="s">
        <v>229</v>
      </c>
      <c r="L105" s="416" t="s">
        <v>362</v>
      </c>
      <c r="M105" s="508" t="s">
        <v>515</v>
      </c>
      <c r="N105" s="713" t="s">
        <v>568</v>
      </c>
      <c r="O105" s="505"/>
      <c r="P105" s="505"/>
      <c r="Q105" s="505"/>
      <c r="R105" s="505"/>
      <c r="S105" s="505"/>
      <c r="T105" s="505"/>
      <c r="U105" s="502"/>
      <c r="V105" s="502"/>
      <c r="W105" s="603"/>
      <c r="X105" s="597"/>
      <c r="Y105" s="602"/>
      <c r="Z105" s="654">
        <f t="shared" si="34"/>
        <v>0</v>
      </c>
      <c r="AA105" s="617"/>
      <c r="AB105" s="400"/>
      <c r="AC105" s="397"/>
      <c r="AD105" s="654">
        <f t="shared" si="35"/>
        <v>0</v>
      </c>
      <c r="AE105" s="617"/>
      <c r="AF105" s="400"/>
      <c r="AG105" s="397"/>
      <c r="AI105" s="611"/>
      <c r="AJ105" s="612"/>
      <c r="AK105" s="613"/>
    </row>
    <row r="106" spans="1:37" ht="96.75" customHeight="1">
      <c r="A106" s="496">
        <v>7</v>
      </c>
      <c r="B106" s="497"/>
      <c r="C106" s="633" t="s">
        <v>574</v>
      </c>
      <c r="D106" s="497"/>
      <c r="E106" s="528" t="s">
        <v>739</v>
      </c>
      <c r="F106" s="668" t="s">
        <v>679</v>
      </c>
      <c r="G106" s="403" t="s">
        <v>607</v>
      </c>
      <c r="H106" s="404" t="s">
        <v>604</v>
      </c>
      <c r="I106" s="403" t="s">
        <v>544</v>
      </c>
      <c r="J106" s="390"/>
      <c r="K106" s="390"/>
      <c r="L106" s="416"/>
      <c r="M106" s="725"/>
      <c r="N106" s="712"/>
      <c r="O106" s="505"/>
      <c r="P106" s="505"/>
      <c r="Q106" s="505"/>
      <c r="R106" s="505"/>
      <c r="S106" s="505"/>
      <c r="T106" s="505"/>
      <c r="U106" s="502"/>
      <c r="V106" s="502"/>
      <c r="W106" s="603"/>
      <c r="X106" s="597"/>
      <c r="Y106" s="602"/>
      <c r="Z106" s="654">
        <f t="shared" si="34"/>
        <v>0</v>
      </c>
      <c r="AA106" s="617"/>
      <c r="AB106" s="400" t="e">
        <f t="shared" si="29"/>
        <v>#DIV/0!</v>
      </c>
      <c r="AC106" s="397"/>
      <c r="AD106" s="654">
        <f t="shared" si="35"/>
        <v>0</v>
      </c>
      <c r="AE106" s="617"/>
      <c r="AF106" s="400" t="e">
        <f t="shared" si="0"/>
        <v>#DIV/0!</v>
      </c>
      <c r="AG106" s="397"/>
      <c r="AI106" s="611"/>
      <c r="AJ106" s="612"/>
      <c r="AK106" s="613"/>
    </row>
    <row r="107" spans="1:37" ht="52.5" customHeight="1">
      <c r="A107" s="506"/>
      <c r="B107" s="497"/>
      <c r="C107" s="497"/>
      <c r="D107" s="497"/>
      <c r="E107" s="529" t="s">
        <v>654</v>
      </c>
      <c r="F107" s="667"/>
      <c r="G107" s="403"/>
      <c r="H107" s="404"/>
      <c r="I107" s="403"/>
      <c r="J107" s="390" t="s">
        <v>365</v>
      </c>
      <c r="K107" s="390" t="s">
        <v>229</v>
      </c>
      <c r="L107" s="416" t="s">
        <v>435</v>
      </c>
      <c r="M107" s="508" t="s">
        <v>515</v>
      </c>
      <c r="N107" s="712">
        <f>16000/2</f>
        <v>8000</v>
      </c>
      <c r="O107" s="505"/>
      <c r="P107" s="505"/>
      <c r="Q107" s="505"/>
      <c r="R107" s="505"/>
      <c r="S107" s="505"/>
      <c r="T107" s="505"/>
      <c r="U107" s="502"/>
      <c r="V107" s="502"/>
      <c r="W107" s="603"/>
      <c r="X107" s="597"/>
      <c r="Y107" s="602"/>
      <c r="Z107" s="654">
        <f t="shared" si="34"/>
        <v>0</v>
      </c>
      <c r="AA107" s="617"/>
      <c r="AB107" s="400"/>
      <c r="AC107" s="397"/>
      <c r="AD107" s="654">
        <f t="shared" si="35"/>
        <v>0</v>
      </c>
      <c r="AE107" s="617"/>
      <c r="AF107" s="400"/>
      <c r="AG107" s="397"/>
      <c r="AI107" s="611"/>
      <c r="AJ107" s="612"/>
      <c r="AK107" s="613"/>
    </row>
    <row r="108" spans="1:37" ht="54" customHeight="1">
      <c r="A108" s="506"/>
      <c r="B108" s="497"/>
      <c r="C108" s="497"/>
      <c r="D108" s="497"/>
      <c r="E108" s="529" t="s">
        <v>655</v>
      </c>
      <c r="F108" s="667"/>
      <c r="G108" s="403"/>
      <c r="H108" s="404"/>
      <c r="I108" s="403"/>
      <c r="J108" s="390" t="s">
        <v>365</v>
      </c>
      <c r="K108" s="390" t="s">
        <v>229</v>
      </c>
      <c r="L108" s="416" t="s">
        <v>435</v>
      </c>
      <c r="M108" s="508" t="s">
        <v>515</v>
      </c>
      <c r="N108" s="712">
        <f>16000/2</f>
        <v>8000</v>
      </c>
      <c r="O108" s="505"/>
      <c r="P108" s="505"/>
      <c r="Q108" s="505"/>
      <c r="R108" s="505"/>
      <c r="S108" s="505"/>
      <c r="T108" s="505"/>
      <c r="U108" s="502"/>
      <c r="V108" s="502"/>
      <c r="W108" s="603"/>
      <c r="X108" s="597"/>
      <c r="Y108" s="602"/>
      <c r="Z108" s="654">
        <f t="shared" si="34"/>
        <v>0</v>
      </c>
      <c r="AA108" s="617"/>
      <c r="AB108" s="400"/>
      <c r="AC108" s="397"/>
      <c r="AD108" s="654">
        <f t="shared" si="35"/>
        <v>0</v>
      </c>
      <c r="AE108" s="617"/>
      <c r="AF108" s="400"/>
      <c r="AG108" s="397"/>
      <c r="AI108" s="611"/>
      <c r="AJ108" s="612"/>
      <c r="AK108" s="613"/>
    </row>
    <row r="109" spans="1:37" ht="35.1" customHeight="1">
      <c r="A109" s="506"/>
      <c r="B109" s="497"/>
      <c r="C109" s="497"/>
      <c r="D109" s="497"/>
      <c r="E109" s="529" t="s">
        <v>640</v>
      </c>
      <c r="F109" s="667"/>
      <c r="G109" s="403"/>
      <c r="H109" s="404"/>
      <c r="I109" s="403"/>
      <c r="J109" s="390" t="s">
        <v>365</v>
      </c>
      <c r="K109" s="390" t="s">
        <v>229</v>
      </c>
      <c r="L109" s="416" t="s">
        <v>362</v>
      </c>
      <c r="M109" s="508" t="s">
        <v>515</v>
      </c>
      <c r="N109" s="712">
        <v>54</v>
      </c>
      <c r="O109" s="505"/>
      <c r="P109" s="505"/>
      <c r="Q109" s="505"/>
      <c r="R109" s="505"/>
      <c r="S109" s="505"/>
      <c r="T109" s="505"/>
      <c r="U109" s="502"/>
      <c r="V109" s="502"/>
      <c r="W109" s="603"/>
      <c r="X109" s="597"/>
      <c r="Y109" s="602"/>
      <c r="Z109" s="654">
        <f t="shared" si="34"/>
        <v>0</v>
      </c>
      <c r="AA109" s="617"/>
      <c r="AB109" s="400"/>
      <c r="AC109" s="397"/>
      <c r="AD109" s="654">
        <f t="shared" si="35"/>
        <v>0</v>
      </c>
      <c r="AE109" s="617"/>
      <c r="AF109" s="400"/>
      <c r="AG109" s="397"/>
      <c r="AI109" s="611"/>
      <c r="AJ109" s="612"/>
      <c r="AK109" s="613"/>
    </row>
    <row r="110" spans="1:37" ht="35.1" customHeight="1">
      <c r="A110" s="506"/>
      <c r="B110" s="497"/>
      <c r="C110" s="497"/>
      <c r="D110" s="497"/>
      <c r="E110" s="529" t="s">
        <v>641</v>
      </c>
      <c r="F110" s="667"/>
      <c r="G110" s="403"/>
      <c r="H110" s="404"/>
      <c r="I110" s="403"/>
      <c r="J110" s="390" t="s">
        <v>365</v>
      </c>
      <c r="K110" s="390" t="s">
        <v>229</v>
      </c>
      <c r="L110" s="416" t="s">
        <v>362</v>
      </c>
      <c r="M110" s="508" t="s">
        <v>515</v>
      </c>
      <c r="N110" s="712">
        <v>47</v>
      </c>
      <c r="O110" s="505"/>
      <c r="P110" s="505"/>
      <c r="Q110" s="505"/>
      <c r="R110" s="505"/>
      <c r="S110" s="505"/>
      <c r="T110" s="505"/>
      <c r="U110" s="502"/>
      <c r="V110" s="502"/>
      <c r="W110" s="603"/>
      <c r="X110" s="597"/>
      <c r="Y110" s="602"/>
      <c r="Z110" s="654">
        <f t="shared" si="34"/>
        <v>0</v>
      </c>
      <c r="AA110" s="617"/>
      <c r="AB110" s="400"/>
      <c r="AC110" s="397"/>
      <c r="AD110" s="654">
        <f t="shared" si="35"/>
        <v>0</v>
      </c>
      <c r="AE110" s="617"/>
      <c r="AF110" s="400"/>
      <c r="AG110" s="397"/>
      <c r="AI110" s="611"/>
      <c r="AJ110" s="612"/>
      <c r="AK110" s="613"/>
    </row>
    <row r="111" spans="1:37" ht="35.1" customHeight="1">
      <c r="A111" s="506"/>
      <c r="B111" s="497"/>
      <c r="C111" s="497"/>
      <c r="D111" s="497"/>
      <c r="E111" s="529" t="s">
        <v>642</v>
      </c>
      <c r="F111" s="667"/>
      <c r="G111" s="403"/>
      <c r="H111" s="404"/>
      <c r="I111" s="403"/>
      <c r="J111" s="390" t="s">
        <v>365</v>
      </c>
      <c r="K111" s="390" t="s">
        <v>229</v>
      </c>
      <c r="L111" s="416" t="s">
        <v>362</v>
      </c>
      <c r="M111" s="508" t="s">
        <v>515</v>
      </c>
      <c r="N111" s="712">
        <v>48</v>
      </c>
      <c r="O111" s="505"/>
      <c r="P111" s="505"/>
      <c r="Q111" s="505"/>
      <c r="R111" s="505"/>
      <c r="S111" s="505"/>
      <c r="T111" s="505"/>
      <c r="U111" s="502"/>
      <c r="V111" s="502"/>
      <c r="W111" s="603"/>
      <c r="X111" s="597"/>
      <c r="Y111" s="602"/>
      <c r="Z111" s="654">
        <f t="shared" si="34"/>
        <v>0</v>
      </c>
      <c r="AA111" s="617"/>
      <c r="AB111" s="400"/>
      <c r="AC111" s="397"/>
      <c r="AD111" s="654">
        <f t="shared" si="35"/>
        <v>0</v>
      </c>
      <c r="AE111" s="617"/>
      <c r="AF111" s="400"/>
      <c r="AG111" s="397"/>
      <c r="AI111" s="611"/>
      <c r="AJ111" s="612"/>
      <c r="AK111" s="613"/>
    </row>
    <row r="112" spans="1:37" ht="35.1" customHeight="1">
      <c r="A112" s="506"/>
      <c r="B112" s="497"/>
      <c r="C112" s="497"/>
      <c r="D112" s="497"/>
      <c r="E112" s="529" t="s">
        <v>643</v>
      </c>
      <c r="F112" s="667"/>
      <c r="G112" s="403"/>
      <c r="H112" s="404"/>
      <c r="I112" s="403"/>
      <c r="J112" s="390" t="s">
        <v>365</v>
      </c>
      <c r="K112" s="390" t="s">
        <v>229</v>
      </c>
      <c r="L112" s="416" t="s">
        <v>362</v>
      </c>
      <c r="M112" s="508" t="s">
        <v>515</v>
      </c>
      <c r="N112" s="712">
        <v>30</v>
      </c>
      <c r="O112" s="505"/>
      <c r="P112" s="505"/>
      <c r="Q112" s="505"/>
      <c r="R112" s="505"/>
      <c r="S112" s="505"/>
      <c r="T112" s="505"/>
      <c r="U112" s="502"/>
      <c r="V112" s="502"/>
      <c r="W112" s="603"/>
      <c r="X112" s="597"/>
      <c r="Y112" s="602"/>
      <c r="Z112" s="654">
        <f t="shared" si="34"/>
        <v>0</v>
      </c>
      <c r="AA112" s="617"/>
      <c r="AB112" s="400"/>
      <c r="AC112" s="397"/>
      <c r="AD112" s="654">
        <f t="shared" si="35"/>
        <v>0</v>
      </c>
      <c r="AE112" s="617"/>
      <c r="AF112" s="400"/>
      <c r="AG112" s="397"/>
      <c r="AI112" s="611"/>
      <c r="AJ112" s="612"/>
      <c r="AK112" s="613"/>
    </row>
    <row r="113" spans="1:37" ht="64.5" customHeight="1">
      <c r="A113" s="496">
        <v>8</v>
      </c>
      <c r="B113" s="497"/>
      <c r="C113" s="633" t="s">
        <v>574</v>
      </c>
      <c r="D113" s="497"/>
      <c r="E113" s="528" t="s">
        <v>740</v>
      </c>
      <c r="F113" s="668" t="s">
        <v>679</v>
      </c>
      <c r="G113" s="403" t="s">
        <v>607</v>
      </c>
      <c r="H113" s="404" t="s">
        <v>604</v>
      </c>
      <c r="I113" s="403" t="s">
        <v>545</v>
      </c>
      <c r="J113" s="390"/>
      <c r="K113" s="390"/>
      <c r="L113" s="416"/>
      <c r="M113" s="721"/>
      <c r="N113" s="712"/>
      <c r="O113" s="505"/>
      <c r="P113" s="505"/>
      <c r="Q113" s="505"/>
      <c r="R113" s="505"/>
      <c r="S113" s="505"/>
      <c r="T113" s="505"/>
      <c r="U113" s="502"/>
      <c r="V113" s="502"/>
      <c r="W113" s="603"/>
      <c r="X113" s="597"/>
      <c r="Y113" s="602"/>
      <c r="Z113" s="654">
        <f t="shared" si="34"/>
        <v>0</v>
      </c>
      <c r="AA113" s="617"/>
      <c r="AB113" s="400" t="e">
        <f t="shared" si="29"/>
        <v>#DIV/0!</v>
      </c>
      <c r="AC113" s="397"/>
      <c r="AD113" s="654">
        <f t="shared" si="35"/>
        <v>0</v>
      </c>
      <c r="AE113" s="617"/>
      <c r="AF113" s="400" t="e">
        <f t="shared" si="0"/>
        <v>#DIV/0!</v>
      </c>
      <c r="AG113" s="397"/>
      <c r="AI113" s="611"/>
      <c r="AJ113" s="612"/>
      <c r="AK113" s="613"/>
    </row>
    <row r="114" spans="1:37" s="593" customFormat="1" ht="35.1" customHeight="1">
      <c r="A114" s="585"/>
      <c r="B114" s="529"/>
      <c r="C114" s="529"/>
      <c r="D114" s="529"/>
      <c r="E114" s="529" t="s">
        <v>644</v>
      </c>
      <c r="F114" s="667"/>
      <c r="G114" s="587"/>
      <c r="H114" s="587"/>
      <c r="I114" s="587"/>
      <c r="J114" s="588" t="s">
        <v>365</v>
      </c>
      <c r="K114" s="588" t="s">
        <v>229</v>
      </c>
      <c r="L114" s="589" t="s">
        <v>435</v>
      </c>
      <c r="M114" s="727">
        <v>0</v>
      </c>
      <c r="N114" s="715" t="s">
        <v>568</v>
      </c>
      <c r="O114" s="505"/>
      <c r="P114" s="505"/>
      <c r="Q114" s="505"/>
      <c r="R114" s="505"/>
      <c r="S114" s="505"/>
      <c r="T114" s="505"/>
      <c r="U114" s="502"/>
      <c r="V114" s="502"/>
      <c r="W114" s="603"/>
      <c r="X114" s="597"/>
      <c r="Y114" s="602"/>
      <c r="Z114" s="654">
        <f t="shared" si="34"/>
        <v>0</v>
      </c>
      <c r="AA114" s="617"/>
      <c r="AB114" s="592"/>
      <c r="AC114" s="586"/>
      <c r="AD114" s="654">
        <f t="shared" si="35"/>
        <v>0</v>
      </c>
      <c r="AE114" s="617"/>
      <c r="AF114" s="592"/>
      <c r="AG114" s="586"/>
      <c r="AI114" s="611"/>
      <c r="AJ114" s="612"/>
      <c r="AK114" s="613"/>
    </row>
    <row r="115" spans="1:37" s="593" customFormat="1" ht="35.1" customHeight="1">
      <c r="A115" s="585"/>
      <c r="B115" s="529"/>
      <c r="C115" s="529"/>
      <c r="D115" s="529"/>
      <c r="E115" s="529" t="s">
        <v>645</v>
      </c>
      <c r="F115" s="667"/>
      <c r="G115" s="587"/>
      <c r="H115" s="587"/>
      <c r="I115" s="587"/>
      <c r="J115" s="588" t="s">
        <v>365</v>
      </c>
      <c r="K115" s="588" t="s">
        <v>229</v>
      </c>
      <c r="L115" s="589" t="s">
        <v>362</v>
      </c>
      <c r="M115" s="727">
        <v>0</v>
      </c>
      <c r="N115" s="715" t="s">
        <v>568</v>
      </c>
      <c r="O115" s="505"/>
      <c r="P115" s="505"/>
      <c r="Q115" s="505"/>
      <c r="R115" s="505"/>
      <c r="S115" s="505"/>
      <c r="T115" s="505"/>
      <c r="U115" s="502"/>
      <c r="V115" s="502"/>
      <c r="W115" s="603"/>
      <c r="X115" s="597"/>
      <c r="Y115" s="602"/>
      <c r="Z115" s="654">
        <f t="shared" si="34"/>
        <v>0</v>
      </c>
      <c r="AA115" s="617"/>
      <c r="AB115" s="592"/>
      <c r="AC115" s="586"/>
      <c r="AD115" s="654">
        <f t="shared" si="35"/>
        <v>0</v>
      </c>
      <c r="AE115" s="617"/>
      <c r="AF115" s="592"/>
      <c r="AG115" s="586"/>
      <c r="AI115" s="611"/>
      <c r="AJ115" s="612"/>
      <c r="AK115" s="613"/>
    </row>
    <row r="116" spans="1:37" s="593" customFormat="1" ht="51" customHeight="1">
      <c r="A116" s="585"/>
      <c r="B116" s="529"/>
      <c r="C116" s="529"/>
      <c r="D116" s="529"/>
      <c r="E116" s="529" t="s">
        <v>646</v>
      </c>
      <c r="F116" s="667"/>
      <c r="G116" s="587"/>
      <c r="H116" s="587"/>
      <c r="I116" s="587"/>
      <c r="J116" s="588" t="s">
        <v>365</v>
      </c>
      <c r="K116" s="588" t="s">
        <v>229</v>
      </c>
      <c r="L116" s="589" t="s">
        <v>362</v>
      </c>
      <c r="M116" s="727">
        <v>0</v>
      </c>
      <c r="N116" s="716">
        <v>40</v>
      </c>
      <c r="O116" s="505"/>
      <c r="P116" s="505"/>
      <c r="Q116" s="505"/>
      <c r="R116" s="505"/>
      <c r="S116" s="505"/>
      <c r="T116" s="505"/>
      <c r="U116" s="502"/>
      <c r="V116" s="502"/>
      <c r="W116" s="603"/>
      <c r="X116" s="597"/>
      <c r="Y116" s="602"/>
      <c r="Z116" s="654">
        <f t="shared" si="34"/>
        <v>0</v>
      </c>
      <c r="AA116" s="617"/>
      <c r="AB116" s="592"/>
      <c r="AC116" s="586"/>
      <c r="AD116" s="654">
        <f t="shared" si="35"/>
        <v>0</v>
      </c>
      <c r="AE116" s="617"/>
      <c r="AF116" s="592"/>
      <c r="AG116" s="586"/>
      <c r="AI116" s="611"/>
      <c r="AJ116" s="612"/>
      <c r="AK116" s="613"/>
    </row>
    <row r="117" spans="1:37" ht="61.5" customHeight="1">
      <c r="A117" s="496">
        <v>9</v>
      </c>
      <c r="B117" s="497"/>
      <c r="C117" s="633" t="s">
        <v>741</v>
      </c>
      <c r="D117" s="497"/>
      <c r="E117" s="528" t="s">
        <v>742</v>
      </c>
      <c r="F117" s="667" t="s">
        <v>578</v>
      </c>
      <c r="G117" s="403" t="s">
        <v>607</v>
      </c>
      <c r="H117" s="404" t="s">
        <v>604</v>
      </c>
      <c r="I117" s="403" t="s">
        <v>546</v>
      </c>
      <c r="J117" s="390"/>
      <c r="K117" s="390"/>
      <c r="L117" s="416"/>
      <c r="M117" s="508" t="s">
        <v>515</v>
      </c>
      <c r="N117" s="712"/>
      <c r="O117" s="505"/>
      <c r="P117" s="505"/>
      <c r="Q117" s="505"/>
      <c r="R117" s="505"/>
      <c r="S117" s="505"/>
      <c r="T117" s="505"/>
      <c r="U117" s="502"/>
      <c r="V117" s="502"/>
      <c r="W117" s="603"/>
      <c r="X117" s="597"/>
      <c r="Y117" s="602"/>
      <c r="Z117" s="654">
        <f t="shared" si="34"/>
        <v>0</v>
      </c>
      <c r="AA117" s="617"/>
      <c r="AB117" s="400" t="e">
        <f t="shared" si="29"/>
        <v>#DIV/0!</v>
      </c>
      <c r="AC117" s="397"/>
      <c r="AD117" s="654">
        <f t="shared" si="35"/>
        <v>0</v>
      </c>
      <c r="AE117" s="617"/>
      <c r="AF117" s="400" t="e">
        <f t="shared" si="0"/>
        <v>#DIV/0!</v>
      </c>
      <c r="AG117" s="397"/>
      <c r="AI117" s="611"/>
      <c r="AJ117" s="612"/>
      <c r="AK117" s="613"/>
    </row>
    <row r="118" spans="1:37" s="541" customFormat="1" ht="45" customHeight="1">
      <c r="A118" s="575"/>
      <c r="B118" s="595"/>
      <c r="C118" s="595"/>
      <c r="D118" s="595"/>
      <c r="E118" s="529" t="s">
        <v>647</v>
      </c>
      <c r="F118" s="667"/>
      <c r="G118" s="538"/>
      <c r="H118" s="539"/>
      <c r="I118" s="538"/>
      <c r="J118" s="588" t="s">
        <v>365</v>
      </c>
      <c r="K118" s="588" t="s">
        <v>229</v>
      </c>
      <c r="L118" s="589" t="s">
        <v>435</v>
      </c>
      <c r="M118" s="508" t="s">
        <v>515</v>
      </c>
      <c r="N118" s="715" t="s">
        <v>568</v>
      </c>
      <c r="O118" s="505"/>
      <c r="P118" s="505"/>
      <c r="Q118" s="505"/>
      <c r="R118" s="505"/>
      <c r="S118" s="505"/>
      <c r="T118" s="505"/>
      <c r="U118" s="502"/>
      <c r="V118" s="502"/>
      <c r="W118" s="603"/>
      <c r="X118" s="597"/>
      <c r="Y118" s="602"/>
      <c r="Z118" s="654">
        <f t="shared" si="34"/>
        <v>0</v>
      </c>
      <c r="AA118" s="617"/>
      <c r="AB118" s="540"/>
      <c r="AC118" s="537"/>
      <c r="AD118" s="654">
        <f t="shared" si="35"/>
        <v>0</v>
      </c>
      <c r="AE118" s="617"/>
      <c r="AF118" s="540"/>
      <c r="AG118" s="537"/>
      <c r="AI118" s="611"/>
      <c r="AJ118" s="612"/>
      <c r="AK118" s="613"/>
    </row>
    <row r="119" spans="1:37" s="541" customFormat="1" ht="53.25" customHeight="1">
      <c r="A119" s="575"/>
      <c r="B119" s="595"/>
      <c r="C119" s="595"/>
      <c r="D119" s="595"/>
      <c r="E119" s="529" t="s">
        <v>648</v>
      </c>
      <c r="F119" s="667"/>
      <c r="G119" s="538"/>
      <c r="H119" s="539"/>
      <c r="I119" s="538"/>
      <c r="J119" s="588" t="s">
        <v>365</v>
      </c>
      <c r="K119" s="588" t="s">
        <v>229</v>
      </c>
      <c r="L119" s="589" t="s">
        <v>435</v>
      </c>
      <c r="M119" s="508" t="s">
        <v>515</v>
      </c>
      <c r="N119" s="717">
        <v>8000</v>
      </c>
      <c r="O119" s="505"/>
      <c r="P119" s="505"/>
      <c r="Q119" s="505"/>
      <c r="R119" s="505"/>
      <c r="S119" s="505"/>
      <c r="T119" s="505"/>
      <c r="U119" s="502"/>
      <c r="V119" s="502"/>
      <c r="W119" s="603"/>
      <c r="X119" s="597"/>
      <c r="Y119" s="602"/>
      <c r="Z119" s="654">
        <f t="shared" si="34"/>
        <v>0</v>
      </c>
      <c r="AA119" s="617"/>
      <c r="AB119" s="540"/>
      <c r="AC119" s="537"/>
      <c r="AD119" s="654">
        <f t="shared" si="35"/>
        <v>0</v>
      </c>
      <c r="AE119" s="617"/>
      <c r="AF119" s="540"/>
      <c r="AG119" s="537"/>
      <c r="AI119" s="611"/>
      <c r="AJ119" s="612"/>
      <c r="AK119" s="613"/>
    </row>
    <row r="120" spans="1:37" s="550" customFormat="1" ht="35.1" customHeight="1">
      <c r="A120" s="573"/>
      <c r="B120" s="542"/>
      <c r="C120" s="542"/>
      <c r="D120" s="542"/>
      <c r="E120" s="518" t="s">
        <v>547</v>
      </c>
      <c r="F120" s="543"/>
      <c r="G120" s="544"/>
      <c r="H120" s="545"/>
      <c r="I120" s="544"/>
      <c r="J120" s="546"/>
      <c r="K120" s="546"/>
      <c r="L120" s="547"/>
      <c r="M120" s="724"/>
      <c r="N120" s="711"/>
      <c r="O120" s="406"/>
      <c r="P120" s="406"/>
      <c r="Q120" s="406"/>
      <c r="R120" s="406"/>
      <c r="S120" s="406"/>
      <c r="T120" s="406"/>
      <c r="U120" s="409"/>
      <c r="V120" s="409"/>
      <c r="W120" s="622"/>
      <c r="X120" s="623"/>
      <c r="Y120" s="624"/>
      <c r="Z120" s="625"/>
      <c r="AA120" s="617"/>
      <c r="AB120" s="626"/>
      <c r="AC120" s="543"/>
      <c r="AD120" s="625"/>
      <c r="AE120" s="617"/>
      <c r="AF120" s="626"/>
      <c r="AG120" s="543"/>
      <c r="AI120" s="611"/>
      <c r="AJ120" s="612"/>
      <c r="AK120" s="613"/>
    </row>
    <row r="121" spans="1:37" ht="43.15" customHeight="1">
      <c r="A121" s="496">
        <v>10</v>
      </c>
      <c r="B121" s="497"/>
      <c r="C121" s="497" t="s">
        <v>583</v>
      </c>
      <c r="D121" s="497"/>
      <c r="E121" s="528" t="s">
        <v>548</v>
      </c>
      <c r="F121" s="668" t="s">
        <v>679</v>
      </c>
      <c r="G121" s="403" t="s">
        <v>607</v>
      </c>
      <c r="H121" s="404"/>
      <c r="I121" s="403" t="s">
        <v>544</v>
      </c>
      <c r="J121" s="390" t="s">
        <v>365</v>
      </c>
      <c r="K121" s="390"/>
      <c r="L121" s="416"/>
      <c r="M121" s="508" t="s">
        <v>515</v>
      </c>
      <c r="N121" s="712"/>
      <c r="O121" s="505"/>
      <c r="P121" s="505"/>
      <c r="Q121" s="505"/>
      <c r="R121" s="505"/>
      <c r="S121" s="505"/>
      <c r="T121" s="505"/>
      <c r="U121" s="502"/>
      <c r="V121" s="502"/>
      <c r="W121" s="603"/>
      <c r="X121" s="597"/>
      <c r="Y121" s="602"/>
      <c r="Z121" s="654">
        <f>Q121/2</f>
        <v>0</v>
      </c>
      <c r="AA121" s="617"/>
      <c r="AB121" s="400" t="e">
        <f t="shared" si="29"/>
        <v>#DIV/0!</v>
      </c>
      <c r="AC121" s="397"/>
      <c r="AD121" s="654">
        <f>Q121/2</f>
        <v>0</v>
      </c>
      <c r="AE121" s="617"/>
      <c r="AF121" s="400" t="e">
        <f t="shared" si="0"/>
        <v>#DIV/0!</v>
      </c>
      <c r="AG121" s="397"/>
      <c r="AI121" s="611"/>
      <c r="AJ121" s="612"/>
      <c r="AK121" s="613"/>
    </row>
    <row r="122" spans="1:37" ht="43.15" customHeight="1">
      <c r="A122" s="496"/>
      <c r="B122" s="497"/>
      <c r="C122" s="497"/>
      <c r="D122" s="497"/>
      <c r="E122" s="529" t="s">
        <v>592</v>
      </c>
      <c r="F122" s="667"/>
      <c r="G122" s="403"/>
      <c r="H122" s="404"/>
      <c r="I122" s="403"/>
      <c r="J122" s="390" t="s">
        <v>365</v>
      </c>
      <c r="K122" s="390" t="s">
        <v>229</v>
      </c>
      <c r="L122" s="639" t="s">
        <v>362</v>
      </c>
      <c r="M122" s="508" t="s">
        <v>515</v>
      </c>
      <c r="N122" s="712">
        <v>25</v>
      </c>
      <c r="O122" s="505"/>
      <c r="P122" s="505"/>
      <c r="Q122" s="505"/>
      <c r="R122" s="505"/>
      <c r="S122" s="505"/>
      <c r="T122" s="505"/>
      <c r="U122" s="502"/>
      <c r="V122" s="502"/>
      <c r="W122" s="603"/>
      <c r="X122" s="597"/>
      <c r="Y122" s="602"/>
      <c r="Z122" s="654">
        <f>Q122/2</f>
        <v>0</v>
      </c>
      <c r="AA122" s="617"/>
      <c r="AB122" s="400"/>
      <c r="AC122" s="397"/>
      <c r="AD122" s="654">
        <f>Q122/2</f>
        <v>0</v>
      </c>
      <c r="AE122" s="617"/>
      <c r="AF122" s="400"/>
      <c r="AG122" s="397"/>
      <c r="AI122" s="611"/>
      <c r="AJ122" s="612"/>
      <c r="AK122" s="613"/>
    </row>
    <row r="123" spans="1:37" ht="43.15" customHeight="1">
      <c r="A123" s="496"/>
      <c r="B123" s="497"/>
      <c r="C123" s="497"/>
      <c r="D123" s="497"/>
      <c r="E123" s="529" t="s">
        <v>593</v>
      </c>
      <c r="F123" s="667"/>
      <c r="G123" s="403"/>
      <c r="H123" s="404"/>
      <c r="I123" s="403"/>
      <c r="J123" s="390" t="s">
        <v>365</v>
      </c>
      <c r="K123" s="390" t="s">
        <v>229</v>
      </c>
      <c r="L123" s="639" t="s">
        <v>362</v>
      </c>
      <c r="M123" s="508" t="s">
        <v>515</v>
      </c>
      <c r="N123" s="712">
        <v>20</v>
      </c>
      <c r="O123" s="505"/>
      <c r="P123" s="505"/>
      <c r="Q123" s="505"/>
      <c r="R123" s="505"/>
      <c r="S123" s="505"/>
      <c r="T123" s="505"/>
      <c r="U123" s="502"/>
      <c r="V123" s="502"/>
      <c r="W123" s="603"/>
      <c r="X123" s="597"/>
      <c r="Y123" s="602"/>
      <c r="Z123" s="654">
        <f>Q123/2</f>
        <v>0</v>
      </c>
      <c r="AA123" s="617"/>
      <c r="AB123" s="400"/>
      <c r="AC123" s="397"/>
      <c r="AD123" s="654">
        <f>Q123/2</f>
        <v>0</v>
      </c>
      <c r="AE123" s="617"/>
      <c r="AF123" s="400"/>
      <c r="AG123" s="397"/>
      <c r="AI123" s="611"/>
      <c r="AJ123" s="612"/>
      <c r="AK123" s="613"/>
    </row>
    <row r="124" spans="1:37" s="550" customFormat="1" ht="35.1" customHeight="1">
      <c r="A124" s="573"/>
      <c r="B124" s="551"/>
      <c r="C124" s="551"/>
      <c r="D124" s="551"/>
      <c r="E124" s="561" t="s">
        <v>549</v>
      </c>
      <c r="F124" s="552"/>
      <c r="G124" s="553"/>
      <c r="H124" s="554"/>
      <c r="I124" s="553"/>
      <c r="J124" s="555"/>
      <c r="K124" s="555"/>
      <c r="L124" s="556"/>
      <c r="M124" s="726"/>
      <c r="N124" s="714"/>
      <c r="O124" s="614"/>
      <c r="P124" s="614"/>
      <c r="Q124" s="614"/>
      <c r="R124" s="614"/>
      <c r="S124" s="614"/>
      <c r="T124" s="614"/>
      <c r="U124" s="615"/>
      <c r="V124" s="615"/>
      <c r="W124" s="662"/>
      <c r="X124" s="664"/>
      <c r="Y124" s="665"/>
      <c r="Z124" s="627"/>
      <c r="AA124" s="628"/>
      <c r="AB124" s="629"/>
      <c r="AC124" s="552"/>
      <c r="AD124" s="627"/>
      <c r="AE124" s="628"/>
      <c r="AF124" s="629"/>
      <c r="AG124" s="552"/>
      <c r="AI124" s="611"/>
      <c r="AJ124" s="612"/>
      <c r="AK124" s="613"/>
    </row>
    <row r="125" spans="1:37" s="550" customFormat="1" ht="35.1" customHeight="1">
      <c r="A125" s="573"/>
      <c r="B125" s="542"/>
      <c r="C125" s="542"/>
      <c r="D125" s="542"/>
      <c r="E125" s="518" t="s">
        <v>590</v>
      </c>
      <c r="F125" s="543"/>
      <c r="G125" s="544"/>
      <c r="H125" s="545"/>
      <c r="I125" s="544"/>
      <c r="J125" s="546"/>
      <c r="K125" s="546"/>
      <c r="L125" s="547"/>
      <c r="M125" s="724"/>
      <c r="N125" s="711"/>
      <c r="O125" s="406"/>
      <c r="P125" s="406"/>
      <c r="Q125" s="406"/>
      <c r="R125" s="406"/>
      <c r="S125" s="406"/>
      <c r="T125" s="406"/>
      <c r="U125" s="409"/>
      <c r="V125" s="409"/>
      <c r="W125" s="622"/>
      <c r="X125" s="623"/>
      <c r="Y125" s="624"/>
      <c r="Z125" s="625"/>
      <c r="AA125" s="617"/>
      <c r="AB125" s="626"/>
      <c r="AC125" s="543"/>
      <c r="AD125" s="625"/>
      <c r="AE125" s="617"/>
      <c r="AF125" s="626"/>
      <c r="AG125" s="543"/>
      <c r="AI125" s="611"/>
      <c r="AJ125" s="612"/>
      <c r="AK125" s="613"/>
    </row>
    <row r="126" spans="1:37" ht="54.75" customHeight="1">
      <c r="A126" s="496">
        <v>11</v>
      </c>
      <c r="B126" s="497"/>
      <c r="C126" s="497" t="s">
        <v>584</v>
      </c>
      <c r="D126" s="497"/>
      <c r="E126" s="531" t="s">
        <v>597</v>
      </c>
      <c r="F126" s="668" t="s">
        <v>679</v>
      </c>
      <c r="G126" s="403" t="s">
        <v>607</v>
      </c>
      <c r="H126" s="404" t="s">
        <v>604</v>
      </c>
      <c r="I126" s="403" t="s">
        <v>550</v>
      </c>
      <c r="J126" s="390" t="s">
        <v>365</v>
      </c>
      <c r="K126" s="390" t="s">
        <v>229</v>
      </c>
      <c r="L126" s="416" t="s">
        <v>591</v>
      </c>
      <c r="M126" s="721">
        <v>0</v>
      </c>
      <c r="N126" s="712">
        <f>1*2*5</f>
        <v>10</v>
      </c>
      <c r="O126" s="505"/>
      <c r="P126" s="505"/>
      <c r="Q126" s="505"/>
      <c r="R126" s="505"/>
      <c r="S126" s="505"/>
      <c r="T126" s="505"/>
      <c r="U126" s="502"/>
      <c r="V126" s="502"/>
      <c r="W126" s="603"/>
      <c r="X126" s="597"/>
      <c r="Y126" s="602"/>
      <c r="Z126" s="654">
        <f t="shared" ref="Z126:Z131" si="36">Q126/2</f>
        <v>0</v>
      </c>
      <c r="AA126" s="617"/>
      <c r="AB126" s="400" t="e">
        <f t="shared" si="29"/>
        <v>#DIV/0!</v>
      </c>
      <c r="AC126" s="397"/>
      <c r="AD126" s="654">
        <f t="shared" ref="AD126:AD131" si="37">Q126/2</f>
        <v>0</v>
      </c>
      <c r="AE126" s="617"/>
      <c r="AF126" s="400" t="e">
        <f t="shared" si="0"/>
        <v>#DIV/0!</v>
      </c>
      <c r="AG126" s="397"/>
      <c r="AI126" s="611"/>
      <c r="AJ126" s="612"/>
      <c r="AK126" s="613"/>
    </row>
    <row r="127" spans="1:37" ht="80.25" customHeight="1">
      <c r="A127" s="496">
        <v>12</v>
      </c>
      <c r="B127" s="497"/>
      <c r="C127" s="633" t="s">
        <v>585</v>
      </c>
      <c r="D127" s="497"/>
      <c r="E127" s="531" t="s">
        <v>595</v>
      </c>
      <c r="F127" s="668" t="s">
        <v>679</v>
      </c>
      <c r="G127" s="403" t="s">
        <v>607</v>
      </c>
      <c r="H127" s="404" t="s">
        <v>604</v>
      </c>
      <c r="I127" s="403" t="s">
        <v>551</v>
      </c>
      <c r="J127" s="390" t="s">
        <v>365</v>
      </c>
      <c r="K127" s="390" t="s">
        <v>229</v>
      </c>
      <c r="L127" s="416" t="s">
        <v>594</v>
      </c>
      <c r="M127" s="508" t="s">
        <v>515</v>
      </c>
      <c r="N127" s="712">
        <f>1*2*5</f>
        <v>10</v>
      </c>
      <c r="O127" s="505"/>
      <c r="P127" s="505"/>
      <c r="Q127" s="505"/>
      <c r="R127" s="505"/>
      <c r="S127" s="505"/>
      <c r="T127" s="505"/>
      <c r="U127" s="502"/>
      <c r="V127" s="502"/>
      <c r="W127" s="603"/>
      <c r="X127" s="597"/>
      <c r="Y127" s="602"/>
      <c r="Z127" s="654">
        <f t="shared" si="36"/>
        <v>0</v>
      </c>
      <c r="AA127" s="617"/>
      <c r="AB127" s="400" t="e">
        <f t="shared" si="29"/>
        <v>#DIV/0!</v>
      </c>
      <c r="AC127" s="397"/>
      <c r="AD127" s="654">
        <f t="shared" si="37"/>
        <v>0</v>
      </c>
      <c r="AE127" s="617"/>
      <c r="AF127" s="400" t="e">
        <f t="shared" si="0"/>
        <v>#DIV/0!</v>
      </c>
      <c r="AG127" s="397"/>
      <c r="AI127" s="611"/>
      <c r="AJ127" s="612"/>
      <c r="AK127" s="613"/>
    </row>
    <row r="128" spans="1:37" ht="60" customHeight="1">
      <c r="A128" s="496">
        <v>13</v>
      </c>
      <c r="B128" s="497"/>
      <c r="C128" s="497" t="s">
        <v>586</v>
      </c>
      <c r="D128" s="497"/>
      <c r="E128" s="528" t="s">
        <v>609</v>
      </c>
      <c r="F128" s="668" t="s">
        <v>679</v>
      </c>
      <c r="G128" s="403" t="s">
        <v>607</v>
      </c>
      <c r="H128" s="404" t="s">
        <v>604</v>
      </c>
      <c r="I128" s="403" t="s">
        <v>538</v>
      </c>
      <c r="J128" s="390" t="s">
        <v>365</v>
      </c>
      <c r="K128" s="390" t="s">
        <v>229</v>
      </c>
      <c r="L128" s="416"/>
      <c r="M128" s="721"/>
      <c r="N128" s="712"/>
      <c r="O128" s="505"/>
      <c r="P128" s="505"/>
      <c r="Q128" s="505"/>
      <c r="R128" s="505"/>
      <c r="S128" s="505"/>
      <c r="T128" s="505"/>
      <c r="U128" s="502"/>
      <c r="V128" s="502"/>
      <c r="W128" s="603"/>
      <c r="X128" s="597"/>
      <c r="Y128" s="602"/>
      <c r="Z128" s="654">
        <f t="shared" si="36"/>
        <v>0</v>
      </c>
      <c r="AA128" s="617"/>
      <c r="AB128" s="400" t="e">
        <f t="shared" si="29"/>
        <v>#DIV/0!</v>
      </c>
      <c r="AC128" s="397"/>
      <c r="AD128" s="654">
        <f t="shared" si="37"/>
        <v>0</v>
      </c>
      <c r="AE128" s="617"/>
      <c r="AF128" s="400" t="e">
        <f t="shared" si="0"/>
        <v>#DIV/0!</v>
      </c>
      <c r="AG128" s="397"/>
      <c r="AI128" s="611"/>
      <c r="AJ128" s="612"/>
      <c r="AK128" s="613"/>
    </row>
    <row r="129" spans="1:37" ht="55.5" customHeight="1">
      <c r="A129" s="496"/>
      <c r="B129" s="497"/>
      <c r="C129" s="497"/>
      <c r="D129" s="497"/>
      <c r="E129" s="529" t="s">
        <v>598</v>
      </c>
      <c r="F129" s="667" t="s">
        <v>701</v>
      </c>
      <c r="G129" s="403"/>
      <c r="H129" s="404"/>
      <c r="I129" s="403"/>
      <c r="J129" s="390"/>
      <c r="K129" s="390"/>
      <c r="L129" s="416" t="s">
        <v>596</v>
      </c>
      <c r="M129" s="721">
        <v>0</v>
      </c>
      <c r="N129" s="712" t="s">
        <v>599</v>
      </c>
      <c r="O129" s="505"/>
      <c r="P129" s="505"/>
      <c r="Q129" s="505"/>
      <c r="R129" s="505"/>
      <c r="S129" s="505"/>
      <c r="T129" s="505"/>
      <c r="U129" s="502"/>
      <c r="V129" s="502"/>
      <c r="W129" s="603"/>
      <c r="X129" s="597"/>
      <c r="Y129" s="602"/>
      <c r="Z129" s="654">
        <f t="shared" si="36"/>
        <v>0</v>
      </c>
      <c r="AA129" s="617"/>
      <c r="AB129" s="400"/>
      <c r="AC129" s="397"/>
      <c r="AD129" s="654">
        <f t="shared" si="37"/>
        <v>0</v>
      </c>
      <c r="AE129" s="617"/>
      <c r="AF129" s="400"/>
      <c r="AG129" s="397"/>
      <c r="AI129" s="611"/>
      <c r="AJ129" s="612"/>
      <c r="AK129" s="613"/>
    </row>
    <row r="130" spans="1:37" ht="58.5" customHeight="1">
      <c r="A130" s="496"/>
      <c r="B130" s="497"/>
      <c r="C130" s="497"/>
      <c r="D130" s="497"/>
      <c r="E130" s="529" t="s">
        <v>600</v>
      </c>
      <c r="F130" s="667" t="s">
        <v>701</v>
      </c>
      <c r="G130" s="403"/>
      <c r="H130" s="404"/>
      <c r="I130" s="403"/>
      <c r="J130" s="390"/>
      <c r="K130" s="390"/>
      <c r="L130" s="416" t="s">
        <v>134</v>
      </c>
      <c r="M130" s="721">
        <v>0</v>
      </c>
      <c r="N130" s="712" t="s">
        <v>599</v>
      </c>
      <c r="O130" s="505"/>
      <c r="P130" s="505"/>
      <c r="Q130" s="505"/>
      <c r="R130" s="505"/>
      <c r="S130" s="505"/>
      <c r="T130" s="505"/>
      <c r="U130" s="502"/>
      <c r="V130" s="502"/>
      <c r="W130" s="603"/>
      <c r="X130" s="597"/>
      <c r="Y130" s="602"/>
      <c r="Z130" s="654">
        <f t="shared" si="36"/>
        <v>0</v>
      </c>
      <c r="AA130" s="617"/>
      <c r="AB130" s="400"/>
      <c r="AC130" s="397"/>
      <c r="AD130" s="654">
        <f t="shared" si="37"/>
        <v>0</v>
      </c>
      <c r="AE130" s="617"/>
      <c r="AF130" s="400"/>
      <c r="AG130" s="397"/>
      <c r="AI130" s="611"/>
      <c r="AJ130" s="612"/>
      <c r="AK130" s="613"/>
    </row>
    <row r="131" spans="1:37" ht="53.25" customHeight="1">
      <c r="A131" s="496">
        <v>14</v>
      </c>
      <c r="B131" s="497"/>
      <c r="C131" s="497" t="s">
        <v>587</v>
      </c>
      <c r="D131" s="497"/>
      <c r="E131" s="531" t="s">
        <v>589</v>
      </c>
      <c r="F131" s="667" t="s">
        <v>702</v>
      </c>
      <c r="G131" s="403" t="s">
        <v>607</v>
      </c>
      <c r="H131" s="404" t="s">
        <v>604</v>
      </c>
      <c r="I131" s="403" t="s">
        <v>552</v>
      </c>
      <c r="J131" s="390" t="s">
        <v>365</v>
      </c>
      <c r="K131" s="390" t="s">
        <v>229</v>
      </c>
      <c r="L131" s="416" t="s">
        <v>362</v>
      </c>
      <c r="M131" s="508" t="s">
        <v>515</v>
      </c>
      <c r="N131" s="712" t="s">
        <v>599</v>
      </c>
      <c r="O131" s="505"/>
      <c r="P131" s="505"/>
      <c r="Q131" s="505"/>
      <c r="R131" s="505"/>
      <c r="S131" s="505"/>
      <c r="T131" s="505"/>
      <c r="U131" s="502"/>
      <c r="V131" s="502"/>
      <c r="W131" s="603"/>
      <c r="X131" s="597"/>
      <c r="Y131" s="602"/>
      <c r="Z131" s="654">
        <f t="shared" si="36"/>
        <v>0</v>
      </c>
      <c r="AA131" s="617"/>
      <c r="AB131" s="400" t="e">
        <f t="shared" si="29"/>
        <v>#DIV/0!</v>
      </c>
      <c r="AC131" s="397"/>
      <c r="AD131" s="654">
        <f t="shared" si="37"/>
        <v>0</v>
      </c>
      <c r="AE131" s="617"/>
      <c r="AF131" s="400" t="e">
        <f t="shared" si="0"/>
        <v>#DIV/0!</v>
      </c>
      <c r="AG131" s="397"/>
      <c r="AI131" s="611"/>
      <c r="AJ131" s="612"/>
      <c r="AK131" s="613"/>
    </row>
    <row r="132" spans="1:37" s="550" customFormat="1" ht="35.1" customHeight="1">
      <c r="A132" s="573"/>
      <c r="B132" s="542"/>
      <c r="C132" s="542"/>
      <c r="D132" s="542"/>
      <c r="E132" s="518" t="s">
        <v>553</v>
      </c>
      <c r="F132" s="543"/>
      <c r="G132" s="544"/>
      <c r="H132" s="545"/>
      <c r="I132" s="544"/>
      <c r="J132" s="546"/>
      <c r="K132" s="546"/>
      <c r="L132" s="547"/>
      <c r="M132" s="724"/>
      <c r="N132" s="711"/>
      <c r="O132" s="406"/>
      <c r="P132" s="406"/>
      <c r="Q132" s="406"/>
      <c r="R132" s="406"/>
      <c r="S132" s="406"/>
      <c r="T132" s="406"/>
      <c r="U132" s="409"/>
      <c r="V132" s="409"/>
      <c r="W132" s="622"/>
      <c r="X132" s="623"/>
      <c r="Y132" s="624"/>
      <c r="Z132" s="625"/>
      <c r="AA132" s="617"/>
      <c r="AB132" s="626"/>
      <c r="AC132" s="543"/>
      <c r="AD132" s="625"/>
      <c r="AE132" s="617"/>
      <c r="AF132" s="626"/>
      <c r="AG132" s="543"/>
      <c r="AI132" s="611"/>
      <c r="AJ132" s="612"/>
      <c r="AK132" s="613"/>
    </row>
    <row r="133" spans="1:37" ht="98.25" customHeight="1">
      <c r="A133" s="496">
        <v>15</v>
      </c>
      <c r="B133" s="497"/>
      <c r="C133" s="633" t="s">
        <v>588</v>
      </c>
      <c r="D133" s="497"/>
      <c r="E133" s="528" t="s">
        <v>601</v>
      </c>
      <c r="F133" s="668" t="s">
        <v>679</v>
      </c>
      <c r="G133" s="403" t="s">
        <v>607</v>
      </c>
      <c r="H133" s="404" t="s">
        <v>604</v>
      </c>
      <c r="I133" s="403" t="s">
        <v>544</v>
      </c>
      <c r="J133" s="390" t="s">
        <v>365</v>
      </c>
      <c r="K133" s="390" t="s">
        <v>229</v>
      </c>
      <c r="L133" s="416"/>
      <c r="M133" s="508" t="s">
        <v>515</v>
      </c>
      <c r="N133" s="712" t="s">
        <v>599</v>
      </c>
      <c r="O133" s="505"/>
      <c r="P133" s="505"/>
      <c r="Q133" s="505"/>
      <c r="R133" s="505"/>
      <c r="S133" s="505"/>
      <c r="T133" s="505"/>
      <c r="U133" s="502"/>
      <c r="V133" s="502"/>
      <c r="W133" s="603"/>
      <c r="X133" s="597"/>
      <c r="Y133" s="602"/>
      <c r="Z133" s="654">
        <f t="shared" ref="Z133:Z140" si="38">Q133/2</f>
        <v>0</v>
      </c>
      <c r="AA133" s="617"/>
      <c r="AB133" s="400" t="e">
        <f t="shared" si="29"/>
        <v>#DIV/0!</v>
      </c>
      <c r="AC133" s="397"/>
      <c r="AD133" s="654">
        <f t="shared" ref="AD133:AD140" si="39">Q133/2</f>
        <v>0</v>
      </c>
      <c r="AE133" s="617"/>
      <c r="AF133" s="400" t="e">
        <f t="shared" si="0"/>
        <v>#DIV/0!</v>
      </c>
      <c r="AG133" s="397"/>
      <c r="AI133" s="611"/>
      <c r="AJ133" s="612"/>
      <c r="AK133" s="613"/>
    </row>
    <row r="134" spans="1:37" ht="38.25">
      <c r="A134" s="506"/>
      <c r="B134" s="497"/>
      <c r="C134" s="497"/>
      <c r="D134" s="497"/>
      <c r="E134" s="503" t="s">
        <v>605</v>
      </c>
      <c r="F134" s="667"/>
      <c r="G134" s="403"/>
      <c r="H134" s="404" t="s">
        <v>576</v>
      </c>
      <c r="I134" s="403"/>
      <c r="J134" s="390"/>
      <c r="K134" s="390"/>
      <c r="L134" s="416" t="s">
        <v>602</v>
      </c>
      <c r="M134" s="508" t="s">
        <v>515</v>
      </c>
      <c r="N134" s="712" t="s">
        <v>599</v>
      </c>
      <c r="O134" s="505"/>
      <c r="P134" s="505"/>
      <c r="Q134" s="505"/>
      <c r="R134" s="505"/>
      <c r="S134" s="505"/>
      <c r="T134" s="505"/>
      <c r="U134" s="502"/>
      <c r="V134" s="502"/>
      <c r="W134" s="603"/>
      <c r="X134" s="597"/>
      <c r="Y134" s="602"/>
      <c r="Z134" s="654">
        <f t="shared" si="38"/>
        <v>0</v>
      </c>
      <c r="AA134" s="617"/>
      <c r="AB134" s="400" t="e">
        <f t="shared" si="29"/>
        <v>#DIV/0!</v>
      </c>
      <c r="AC134" s="397"/>
      <c r="AD134" s="654">
        <f t="shared" si="39"/>
        <v>0</v>
      </c>
      <c r="AE134" s="617"/>
      <c r="AF134" s="400" t="e">
        <f t="shared" si="0"/>
        <v>#DIV/0!</v>
      </c>
      <c r="AG134" s="397"/>
      <c r="AI134" s="611"/>
      <c r="AJ134" s="612"/>
      <c r="AK134" s="613"/>
    </row>
    <row r="135" spans="1:37" ht="43.15" customHeight="1">
      <c r="A135" s="506"/>
      <c r="B135" s="497"/>
      <c r="C135" s="497"/>
      <c r="D135" s="497"/>
      <c r="E135" s="529" t="s">
        <v>649</v>
      </c>
      <c r="F135" s="667"/>
      <c r="G135" s="403"/>
      <c r="H135" s="404" t="s">
        <v>604</v>
      </c>
      <c r="I135" s="403"/>
      <c r="J135" s="390"/>
      <c r="K135" s="390"/>
      <c r="L135" s="416" t="s">
        <v>606</v>
      </c>
      <c r="M135" s="508" t="s">
        <v>515</v>
      </c>
      <c r="N135" s="712" t="s">
        <v>599</v>
      </c>
      <c r="O135" s="505"/>
      <c r="P135" s="505"/>
      <c r="Q135" s="505"/>
      <c r="R135" s="505"/>
      <c r="S135" s="505"/>
      <c r="T135" s="505"/>
      <c r="U135" s="502"/>
      <c r="V135" s="502"/>
      <c r="W135" s="603"/>
      <c r="X135" s="597"/>
      <c r="Y135" s="602"/>
      <c r="Z135" s="654">
        <f t="shared" si="38"/>
        <v>0</v>
      </c>
      <c r="AA135" s="617"/>
      <c r="AB135" s="400" t="e">
        <f t="shared" si="29"/>
        <v>#DIV/0!</v>
      </c>
      <c r="AC135" s="397"/>
      <c r="AD135" s="654">
        <f t="shared" si="39"/>
        <v>0</v>
      </c>
      <c r="AE135" s="617"/>
      <c r="AF135" s="400" t="e">
        <f t="shared" si="0"/>
        <v>#DIV/0!</v>
      </c>
      <c r="AG135" s="397"/>
      <c r="AI135" s="611"/>
      <c r="AJ135" s="612"/>
      <c r="AK135" s="613"/>
    </row>
    <row r="136" spans="1:37" ht="33" customHeight="1">
      <c r="A136" s="506"/>
      <c r="B136" s="497"/>
      <c r="C136" s="497"/>
      <c r="D136" s="497"/>
      <c r="E136" s="529" t="s">
        <v>650</v>
      </c>
      <c r="F136" s="667"/>
      <c r="G136" s="403"/>
      <c r="H136" s="404" t="s">
        <v>604</v>
      </c>
      <c r="I136" s="403"/>
      <c r="J136" s="390"/>
      <c r="K136" s="390"/>
      <c r="L136" s="416" t="s">
        <v>435</v>
      </c>
      <c r="M136" s="508" t="s">
        <v>515</v>
      </c>
      <c r="N136" s="712">
        <v>15</v>
      </c>
      <c r="O136" s="505"/>
      <c r="P136" s="505"/>
      <c r="Q136" s="505"/>
      <c r="R136" s="505"/>
      <c r="S136" s="505"/>
      <c r="T136" s="505"/>
      <c r="U136" s="502"/>
      <c r="V136" s="502"/>
      <c r="W136" s="603"/>
      <c r="X136" s="597"/>
      <c r="Y136" s="602"/>
      <c r="Z136" s="654">
        <f t="shared" si="38"/>
        <v>0</v>
      </c>
      <c r="AA136" s="617"/>
      <c r="AB136" s="400" t="e">
        <f t="shared" si="29"/>
        <v>#DIV/0!</v>
      </c>
      <c r="AC136" s="397"/>
      <c r="AD136" s="654">
        <f t="shared" si="39"/>
        <v>0</v>
      </c>
      <c r="AE136" s="617"/>
      <c r="AF136" s="400" t="e">
        <f t="shared" si="0"/>
        <v>#DIV/0!</v>
      </c>
      <c r="AG136" s="397"/>
      <c r="AI136" s="611"/>
      <c r="AJ136" s="612"/>
      <c r="AK136" s="613"/>
    </row>
    <row r="137" spans="1:37" ht="49.5" customHeight="1">
      <c r="A137" s="506"/>
      <c r="B137" s="497"/>
      <c r="C137" s="497"/>
      <c r="D137" s="497"/>
      <c r="E137" s="529" t="s">
        <v>651</v>
      </c>
      <c r="F137" s="667"/>
      <c r="G137" s="403"/>
      <c r="H137" s="404" t="s">
        <v>604</v>
      </c>
      <c r="I137" s="403"/>
      <c r="J137" s="390"/>
      <c r="K137" s="390"/>
      <c r="L137" s="416" t="s">
        <v>435</v>
      </c>
      <c r="M137" s="508" t="s">
        <v>515</v>
      </c>
      <c r="N137" s="712">
        <v>15</v>
      </c>
      <c r="O137" s="505"/>
      <c r="P137" s="505"/>
      <c r="Q137" s="505"/>
      <c r="R137" s="505"/>
      <c r="S137" s="505"/>
      <c r="T137" s="505"/>
      <c r="U137" s="502"/>
      <c r="V137" s="502"/>
      <c r="W137" s="603"/>
      <c r="X137" s="597"/>
      <c r="Y137" s="602"/>
      <c r="Z137" s="654">
        <f t="shared" si="38"/>
        <v>0</v>
      </c>
      <c r="AA137" s="617"/>
      <c r="AB137" s="400"/>
      <c r="AC137" s="397"/>
      <c r="AD137" s="654">
        <f t="shared" si="39"/>
        <v>0</v>
      </c>
      <c r="AE137" s="617"/>
      <c r="AF137" s="400"/>
      <c r="AG137" s="397"/>
      <c r="AI137" s="611"/>
      <c r="AJ137" s="612"/>
      <c r="AK137" s="613"/>
    </row>
    <row r="138" spans="1:37" ht="53.25" customHeight="1">
      <c r="A138" s="506"/>
      <c r="B138" s="497"/>
      <c r="C138" s="497"/>
      <c r="D138" s="497"/>
      <c r="E138" s="529" t="s">
        <v>652</v>
      </c>
      <c r="F138" s="667"/>
      <c r="G138" s="403"/>
      <c r="H138" s="404" t="s">
        <v>604</v>
      </c>
      <c r="I138" s="403"/>
      <c r="J138" s="390"/>
      <c r="K138" s="390"/>
      <c r="L138" s="416" t="s">
        <v>435</v>
      </c>
      <c r="M138" s="508" t="s">
        <v>515</v>
      </c>
      <c r="N138" s="712">
        <v>10</v>
      </c>
      <c r="O138" s="505"/>
      <c r="P138" s="505"/>
      <c r="Q138" s="505"/>
      <c r="R138" s="505"/>
      <c r="S138" s="505"/>
      <c r="T138" s="505"/>
      <c r="U138" s="502"/>
      <c r="V138" s="502"/>
      <c r="W138" s="603"/>
      <c r="X138" s="597"/>
      <c r="Y138" s="602"/>
      <c r="Z138" s="654">
        <f t="shared" si="38"/>
        <v>0</v>
      </c>
      <c r="AA138" s="617"/>
      <c r="AB138" s="400" t="e">
        <f t="shared" si="29"/>
        <v>#DIV/0!</v>
      </c>
      <c r="AC138" s="397"/>
      <c r="AD138" s="654">
        <f t="shared" si="39"/>
        <v>0</v>
      </c>
      <c r="AE138" s="617"/>
      <c r="AF138" s="400" t="e">
        <f t="shared" si="0"/>
        <v>#DIV/0!</v>
      </c>
      <c r="AG138" s="397"/>
      <c r="AI138" s="611"/>
      <c r="AJ138" s="612"/>
      <c r="AK138" s="613"/>
    </row>
    <row r="139" spans="1:37" ht="54.75" customHeight="1">
      <c r="A139" s="506"/>
      <c r="B139" s="497"/>
      <c r="C139" s="497"/>
      <c r="D139" s="497"/>
      <c r="E139" s="529" t="s">
        <v>653</v>
      </c>
      <c r="F139" s="667"/>
      <c r="G139" s="403"/>
      <c r="H139" s="404" t="s">
        <v>604</v>
      </c>
      <c r="I139" s="403"/>
      <c r="J139" s="390"/>
      <c r="K139" s="390"/>
      <c r="L139" s="416" t="s">
        <v>435</v>
      </c>
      <c r="M139" s="508" t="s">
        <v>515</v>
      </c>
      <c r="N139" s="712">
        <v>10</v>
      </c>
      <c r="O139" s="505"/>
      <c r="P139" s="505"/>
      <c r="Q139" s="505"/>
      <c r="R139" s="505"/>
      <c r="S139" s="505"/>
      <c r="T139" s="505"/>
      <c r="U139" s="502"/>
      <c r="V139" s="502"/>
      <c r="W139" s="603"/>
      <c r="X139" s="597"/>
      <c r="Y139" s="602"/>
      <c r="Z139" s="654">
        <f t="shared" si="38"/>
        <v>0</v>
      </c>
      <c r="AA139" s="617"/>
      <c r="AB139" s="400"/>
      <c r="AC139" s="397"/>
      <c r="AD139" s="654">
        <f t="shared" si="39"/>
        <v>0</v>
      </c>
      <c r="AE139" s="617"/>
      <c r="AF139" s="400"/>
      <c r="AG139" s="397"/>
      <c r="AI139" s="611"/>
      <c r="AJ139" s="612"/>
      <c r="AK139" s="613"/>
    </row>
    <row r="140" spans="1:37" ht="43.15" customHeight="1" thickBot="1">
      <c r="A140" s="506"/>
      <c r="B140" s="497"/>
      <c r="C140" s="497"/>
      <c r="D140" s="497"/>
      <c r="E140" s="529" t="s">
        <v>603</v>
      </c>
      <c r="F140" s="667"/>
      <c r="G140" s="403"/>
      <c r="H140" s="404" t="s">
        <v>604</v>
      </c>
      <c r="I140" s="403"/>
      <c r="J140" s="390"/>
      <c r="K140" s="390"/>
      <c r="L140" s="416" t="s">
        <v>435</v>
      </c>
      <c r="M140" s="508" t="s">
        <v>515</v>
      </c>
      <c r="N140" s="712">
        <v>20000</v>
      </c>
      <c r="O140" s="505"/>
      <c r="P140" s="505"/>
      <c r="Q140" s="505"/>
      <c r="R140" s="505"/>
      <c r="S140" s="505"/>
      <c r="T140" s="505"/>
      <c r="U140" s="502"/>
      <c r="V140" s="502"/>
      <c r="W140" s="605"/>
      <c r="X140" s="606"/>
      <c r="Y140" s="607"/>
      <c r="Z140" s="654">
        <f t="shared" si="38"/>
        <v>0</v>
      </c>
      <c r="AA140" s="617"/>
      <c r="AB140" s="400" t="e">
        <f t="shared" si="29"/>
        <v>#DIV/0!</v>
      </c>
      <c r="AC140" s="397"/>
      <c r="AD140" s="654">
        <f t="shared" si="39"/>
        <v>0</v>
      </c>
      <c r="AE140" s="617"/>
      <c r="AF140" s="400" t="e">
        <f t="shared" si="0"/>
        <v>#DIV/0!</v>
      </c>
      <c r="AG140" s="397"/>
      <c r="AI140" s="618"/>
      <c r="AJ140" s="619"/>
      <c r="AK140" s="620"/>
    </row>
    <row r="141" spans="1:37" ht="43.15" hidden="1" customHeight="1" thickBot="1">
      <c r="A141" s="506"/>
      <c r="B141" s="497"/>
      <c r="C141" s="497"/>
      <c r="D141" s="497"/>
      <c r="E141" s="503"/>
      <c r="F141" s="397"/>
      <c r="G141" s="403"/>
      <c r="H141" s="404"/>
      <c r="I141" s="403"/>
      <c r="J141" s="390"/>
      <c r="K141" s="390"/>
      <c r="L141" s="416"/>
      <c r="M141" s="725"/>
      <c r="N141" s="712"/>
      <c r="O141" s="406"/>
      <c r="P141" s="406"/>
      <c r="Q141" s="406"/>
      <c r="R141" s="406"/>
      <c r="S141" s="406"/>
      <c r="T141" s="406"/>
      <c r="U141" s="409"/>
      <c r="V141" s="601"/>
      <c r="W141" s="601"/>
      <c r="X141" s="601"/>
      <c r="Y141" s="601"/>
      <c r="Z141" s="401"/>
      <c r="AA141" s="399"/>
      <c r="AB141" s="400" t="e">
        <f t="shared" si="29"/>
        <v>#DIV/0!</v>
      </c>
      <c r="AC141" s="397"/>
      <c r="AD141" s="398"/>
      <c r="AE141" s="399"/>
      <c r="AF141" s="400" t="e">
        <f t="shared" si="0"/>
        <v>#DIV/0!</v>
      </c>
      <c r="AG141" s="397"/>
    </row>
    <row r="142" spans="1:37" ht="43.15" hidden="1" customHeight="1">
      <c r="A142" s="506"/>
      <c r="B142" s="497"/>
      <c r="C142" s="497"/>
      <c r="D142" s="497"/>
      <c r="E142" s="498"/>
      <c r="F142" s="397"/>
      <c r="G142" s="403"/>
      <c r="H142" s="404"/>
      <c r="I142" s="403"/>
      <c r="J142" s="390"/>
      <c r="K142" s="390"/>
      <c r="L142" s="416"/>
      <c r="M142" s="725"/>
      <c r="N142" s="712"/>
      <c r="O142" s="406"/>
      <c r="P142" s="406"/>
      <c r="Q142" s="406"/>
      <c r="R142" s="406"/>
      <c r="S142" s="406"/>
      <c r="T142" s="406"/>
      <c r="U142" s="409"/>
      <c r="V142" s="599"/>
      <c r="W142" s="599"/>
      <c r="X142" s="599"/>
      <c r="Y142" s="599"/>
      <c r="Z142" s="401"/>
      <c r="AA142" s="399"/>
      <c r="AB142" s="400" t="e">
        <f t="shared" si="29"/>
        <v>#DIV/0!</v>
      </c>
      <c r="AC142" s="397"/>
      <c r="AD142" s="398"/>
      <c r="AE142" s="399"/>
      <c r="AF142" s="400" t="e">
        <f t="shared" si="0"/>
        <v>#DIV/0!</v>
      </c>
      <c r="AG142" s="397"/>
    </row>
    <row r="143" spans="1:37" ht="43.15" hidden="1" customHeight="1">
      <c r="A143" s="506"/>
      <c r="B143" s="497"/>
      <c r="C143" s="497"/>
      <c r="D143" s="497"/>
      <c r="E143" s="498"/>
      <c r="F143" s="397"/>
      <c r="G143" s="403"/>
      <c r="H143" s="404"/>
      <c r="I143" s="403"/>
      <c r="J143" s="390"/>
      <c r="K143" s="390"/>
      <c r="L143" s="416"/>
      <c r="M143" s="725"/>
      <c r="N143" s="712"/>
      <c r="O143" s="406"/>
      <c r="P143" s="406"/>
      <c r="Q143" s="406"/>
      <c r="R143" s="406"/>
      <c r="S143" s="406"/>
      <c r="T143" s="406"/>
      <c r="U143" s="409"/>
      <c r="V143" s="599"/>
      <c r="W143" s="599"/>
      <c r="X143" s="599"/>
      <c r="Y143" s="599"/>
      <c r="Z143" s="401"/>
      <c r="AA143" s="399"/>
      <c r="AB143" s="400" t="e">
        <f t="shared" si="29"/>
        <v>#DIV/0!</v>
      </c>
      <c r="AC143" s="397"/>
      <c r="AD143" s="398"/>
      <c r="AE143" s="399"/>
      <c r="AF143" s="400" t="e">
        <f t="shared" si="0"/>
        <v>#DIV/0!</v>
      </c>
      <c r="AG143" s="397"/>
    </row>
    <row r="144" spans="1:37" ht="43.15" hidden="1" customHeight="1">
      <c r="A144" s="506"/>
      <c r="B144" s="497"/>
      <c r="C144" s="497"/>
      <c r="D144" s="497"/>
      <c r="E144" s="498"/>
      <c r="F144" s="397"/>
      <c r="G144" s="403"/>
      <c r="H144" s="404"/>
      <c r="I144" s="403"/>
      <c r="J144" s="390"/>
      <c r="K144" s="390"/>
      <c r="L144" s="416"/>
      <c r="M144" s="725"/>
      <c r="N144" s="712"/>
      <c r="O144" s="406"/>
      <c r="P144" s="406"/>
      <c r="Q144" s="406"/>
      <c r="R144" s="406"/>
      <c r="S144" s="406"/>
      <c r="T144" s="406"/>
      <c r="U144" s="409"/>
      <c r="V144" s="599"/>
      <c r="W144" s="599"/>
      <c r="X144" s="599"/>
      <c r="Y144" s="599"/>
      <c r="Z144" s="401"/>
      <c r="AA144" s="399"/>
      <c r="AB144" s="400" t="e">
        <f t="shared" si="29"/>
        <v>#DIV/0!</v>
      </c>
      <c r="AC144" s="397"/>
      <c r="AD144" s="398"/>
      <c r="AE144" s="399"/>
      <c r="AF144" s="400" t="e">
        <f t="shared" si="0"/>
        <v>#DIV/0!</v>
      </c>
      <c r="AG144" s="397"/>
    </row>
    <row r="145" spans="1:33" ht="43.15" hidden="1" customHeight="1">
      <c r="A145" s="506"/>
      <c r="B145" s="497"/>
      <c r="C145" s="497"/>
      <c r="D145" s="497"/>
      <c r="E145" s="498"/>
      <c r="F145" s="397"/>
      <c r="G145" s="403"/>
      <c r="H145" s="404"/>
      <c r="I145" s="403"/>
      <c r="J145" s="390"/>
      <c r="K145" s="390"/>
      <c r="L145" s="416"/>
      <c r="M145" s="725"/>
      <c r="N145" s="712"/>
      <c r="O145" s="406"/>
      <c r="P145" s="406"/>
      <c r="Q145" s="406"/>
      <c r="R145" s="406"/>
      <c r="S145" s="406"/>
      <c r="T145" s="406"/>
      <c r="U145" s="409"/>
      <c r="V145" s="599"/>
      <c r="W145" s="599"/>
      <c r="X145" s="599"/>
      <c r="Y145" s="599"/>
      <c r="Z145" s="401"/>
      <c r="AA145" s="399"/>
      <c r="AB145" s="400" t="e">
        <f t="shared" ref="AB145:AB200" si="40">AA145/Z145</f>
        <v>#DIV/0!</v>
      </c>
      <c r="AC145" s="397"/>
      <c r="AD145" s="398"/>
      <c r="AE145" s="399"/>
      <c r="AF145" s="400" t="e">
        <f t="shared" ref="AF145:AF200" si="41">AE145/AD145</f>
        <v>#DIV/0!</v>
      </c>
      <c r="AG145" s="397"/>
    </row>
    <row r="146" spans="1:33" ht="43.15" hidden="1" customHeight="1">
      <c r="A146" s="506"/>
      <c r="B146" s="497"/>
      <c r="C146" s="497"/>
      <c r="D146" s="497"/>
      <c r="E146" s="498"/>
      <c r="F146" s="397"/>
      <c r="G146" s="403"/>
      <c r="H146" s="404"/>
      <c r="I146" s="403"/>
      <c r="J146" s="390"/>
      <c r="K146" s="390"/>
      <c r="L146" s="416"/>
      <c r="M146" s="725"/>
      <c r="N146" s="712"/>
      <c r="O146" s="406"/>
      <c r="P146" s="406"/>
      <c r="Q146" s="406"/>
      <c r="R146" s="406"/>
      <c r="S146" s="406"/>
      <c r="T146" s="406"/>
      <c r="U146" s="409"/>
      <c r="V146" s="599"/>
      <c r="W146" s="599"/>
      <c r="X146" s="599"/>
      <c r="Y146" s="599"/>
      <c r="Z146" s="401"/>
      <c r="AA146" s="399"/>
      <c r="AB146" s="400" t="e">
        <f t="shared" si="40"/>
        <v>#DIV/0!</v>
      </c>
      <c r="AC146" s="397"/>
      <c r="AD146" s="398"/>
      <c r="AE146" s="399"/>
      <c r="AF146" s="400" t="e">
        <f t="shared" si="41"/>
        <v>#DIV/0!</v>
      </c>
      <c r="AG146" s="397"/>
    </row>
    <row r="147" spans="1:33" ht="43.15" hidden="1" customHeight="1">
      <c r="A147" s="506"/>
      <c r="B147" s="497"/>
      <c r="C147" s="497"/>
      <c r="D147" s="497"/>
      <c r="E147" s="498"/>
      <c r="F147" s="397"/>
      <c r="G147" s="403"/>
      <c r="H147" s="404"/>
      <c r="I147" s="403"/>
      <c r="J147" s="390"/>
      <c r="K147" s="390"/>
      <c r="L147" s="416"/>
      <c r="M147" s="725"/>
      <c r="N147" s="712"/>
      <c r="O147" s="406"/>
      <c r="P147" s="406"/>
      <c r="Q147" s="406"/>
      <c r="R147" s="406"/>
      <c r="S147" s="406"/>
      <c r="T147" s="406"/>
      <c r="U147" s="409"/>
      <c r="V147" s="599"/>
      <c r="W147" s="599"/>
      <c r="X147" s="599"/>
      <c r="Y147" s="599"/>
      <c r="Z147" s="401"/>
      <c r="AA147" s="399"/>
      <c r="AB147" s="400" t="e">
        <f t="shared" si="40"/>
        <v>#DIV/0!</v>
      </c>
      <c r="AC147" s="397"/>
      <c r="AD147" s="398"/>
      <c r="AE147" s="399"/>
      <c r="AF147" s="400" t="e">
        <f t="shared" si="41"/>
        <v>#DIV/0!</v>
      </c>
      <c r="AG147" s="397"/>
    </row>
    <row r="148" spans="1:33" ht="43.15" hidden="1" customHeight="1">
      <c r="A148" s="506"/>
      <c r="B148" s="497"/>
      <c r="C148" s="497"/>
      <c r="D148" s="497"/>
      <c r="E148" s="498"/>
      <c r="F148" s="397"/>
      <c r="G148" s="403"/>
      <c r="H148" s="404"/>
      <c r="I148" s="403"/>
      <c r="J148" s="390"/>
      <c r="K148" s="390"/>
      <c r="L148" s="416"/>
      <c r="M148" s="725"/>
      <c r="N148" s="712"/>
      <c r="O148" s="406"/>
      <c r="P148" s="406"/>
      <c r="Q148" s="406"/>
      <c r="R148" s="406"/>
      <c r="S148" s="406"/>
      <c r="T148" s="406"/>
      <c r="U148" s="409"/>
      <c r="V148" s="599"/>
      <c r="W148" s="599"/>
      <c r="X148" s="599"/>
      <c r="Y148" s="599"/>
      <c r="Z148" s="401"/>
      <c r="AA148" s="399"/>
      <c r="AB148" s="400" t="e">
        <f t="shared" si="40"/>
        <v>#DIV/0!</v>
      </c>
      <c r="AC148" s="397"/>
      <c r="AD148" s="398"/>
      <c r="AE148" s="399"/>
      <c r="AF148" s="400" t="e">
        <f t="shared" si="41"/>
        <v>#DIV/0!</v>
      </c>
      <c r="AG148" s="397"/>
    </row>
    <row r="149" spans="1:33" ht="43.15" hidden="1" customHeight="1">
      <c r="A149" s="506"/>
      <c r="B149" s="497"/>
      <c r="C149" s="497"/>
      <c r="D149" s="497"/>
      <c r="E149" s="498"/>
      <c r="F149" s="397"/>
      <c r="G149" s="403"/>
      <c r="H149" s="404"/>
      <c r="I149" s="403"/>
      <c r="J149" s="390"/>
      <c r="K149" s="390"/>
      <c r="L149" s="416"/>
      <c r="M149" s="725"/>
      <c r="N149" s="712"/>
      <c r="O149" s="406"/>
      <c r="P149" s="406"/>
      <c r="Q149" s="406"/>
      <c r="R149" s="406"/>
      <c r="S149" s="406"/>
      <c r="T149" s="406"/>
      <c r="U149" s="409"/>
      <c r="V149" s="599"/>
      <c r="W149" s="599"/>
      <c r="X149" s="599"/>
      <c r="Y149" s="599"/>
      <c r="Z149" s="401"/>
      <c r="AA149" s="399"/>
      <c r="AB149" s="400" t="e">
        <f t="shared" si="40"/>
        <v>#DIV/0!</v>
      </c>
      <c r="AC149" s="397"/>
      <c r="AD149" s="398"/>
      <c r="AE149" s="399"/>
      <c r="AF149" s="400" t="e">
        <f t="shared" si="41"/>
        <v>#DIV/0!</v>
      </c>
      <c r="AG149" s="397"/>
    </row>
    <row r="150" spans="1:33" ht="43.15" hidden="1" customHeight="1">
      <c r="A150" s="506"/>
      <c r="B150" s="497"/>
      <c r="C150" s="497"/>
      <c r="D150" s="497"/>
      <c r="E150" s="498"/>
      <c r="F150" s="397"/>
      <c r="G150" s="403"/>
      <c r="H150" s="404"/>
      <c r="I150" s="403"/>
      <c r="J150" s="390"/>
      <c r="K150" s="390"/>
      <c r="L150" s="416"/>
      <c r="M150" s="725"/>
      <c r="N150" s="712"/>
      <c r="O150" s="406"/>
      <c r="P150" s="406"/>
      <c r="Q150" s="406"/>
      <c r="R150" s="406"/>
      <c r="S150" s="406"/>
      <c r="T150" s="406"/>
      <c r="U150" s="409"/>
      <c r="V150" s="599"/>
      <c r="W150" s="599"/>
      <c r="X150" s="599"/>
      <c r="Y150" s="599"/>
      <c r="Z150" s="401"/>
      <c r="AA150" s="399"/>
      <c r="AB150" s="400" t="e">
        <f t="shared" si="40"/>
        <v>#DIV/0!</v>
      </c>
      <c r="AC150" s="397"/>
      <c r="AD150" s="398"/>
      <c r="AE150" s="399"/>
      <c r="AF150" s="400" t="e">
        <f t="shared" si="41"/>
        <v>#DIV/0!</v>
      </c>
      <c r="AG150" s="397"/>
    </row>
    <row r="151" spans="1:33" ht="43.15" hidden="1" customHeight="1">
      <c r="A151" s="506"/>
      <c r="B151" s="497"/>
      <c r="C151" s="497"/>
      <c r="D151" s="497"/>
      <c r="E151" s="498"/>
      <c r="F151" s="397"/>
      <c r="G151" s="403"/>
      <c r="H151" s="404"/>
      <c r="I151" s="403"/>
      <c r="J151" s="390"/>
      <c r="K151" s="390"/>
      <c r="L151" s="416"/>
      <c r="M151" s="725"/>
      <c r="N151" s="712"/>
      <c r="O151" s="406"/>
      <c r="P151" s="406"/>
      <c r="Q151" s="406"/>
      <c r="R151" s="406"/>
      <c r="S151" s="406"/>
      <c r="T151" s="406"/>
      <c r="U151" s="409"/>
      <c r="V151" s="599"/>
      <c r="W151" s="599"/>
      <c r="X151" s="599"/>
      <c r="Y151" s="599"/>
      <c r="Z151" s="401"/>
      <c r="AA151" s="399"/>
      <c r="AB151" s="400" t="e">
        <f t="shared" si="40"/>
        <v>#DIV/0!</v>
      </c>
      <c r="AC151" s="397"/>
      <c r="AD151" s="398"/>
      <c r="AE151" s="399"/>
      <c r="AF151" s="400" t="e">
        <f t="shared" si="41"/>
        <v>#DIV/0!</v>
      </c>
      <c r="AG151" s="397"/>
    </row>
    <row r="152" spans="1:33" ht="43.15" hidden="1" customHeight="1">
      <c r="A152" s="506"/>
      <c r="B152" s="497"/>
      <c r="C152" s="497"/>
      <c r="D152" s="497"/>
      <c r="E152" s="498"/>
      <c r="F152" s="397"/>
      <c r="G152" s="403"/>
      <c r="H152" s="404"/>
      <c r="I152" s="403"/>
      <c r="J152" s="390"/>
      <c r="K152" s="390"/>
      <c r="L152" s="416"/>
      <c r="M152" s="725"/>
      <c r="N152" s="712"/>
      <c r="O152" s="406"/>
      <c r="P152" s="406"/>
      <c r="Q152" s="406"/>
      <c r="R152" s="406"/>
      <c r="S152" s="406"/>
      <c r="T152" s="406"/>
      <c r="U152" s="409"/>
      <c r="V152" s="599"/>
      <c r="W152" s="599"/>
      <c r="X152" s="599"/>
      <c r="Y152" s="599"/>
      <c r="Z152" s="401"/>
      <c r="AA152" s="399"/>
      <c r="AB152" s="400" t="e">
        <f t="shared" si="40"/>
        <v>#DIV/0!</v>
      </c>
      <c r="AC152" s="397"/>
      <c r="AD152" s="398"/>
      <c r="AE152" s="399"/>
      <c r="AF152" s="400" t="e">
        <f t="shared" si="41"/>
        <v>#DIV/0!</v>
      </c>
      <c r="AG152" s="397"/>
    </row>
    <row r="153" spans="1:33" ht="43.15" hidden="1" customHeight="1">
      <c r="A153" s="506"/>
      <c r="B153" s="497"/>
      <c r="C153" s="497"/>
      <c r="D153" s="497"/>
      <c r="E153" s="498"/>
      <c r="F153" s="397"/>
      <c r="G153" s="403"/>
      <c r="H153" s="404"/>
      <c r="I153" s="403"/>
      <c r="J153" s="390"/>
      <c r="K153" s="390"/>
      <c r="L153" s="416"/>
      <c r="M153" s="725"/>
      <c r="N153" s="712"/>
      <c r="O153" s="406"/>
      <c r="P153" s="406"/>
      <c r="Q153" s="406"/>
      <c r="R153" s="406"/>
      <c r="S153" s="406"/>
      <c r="T153" s="406"/>
      <c r="U153" s="409"/>
      <c r="V153" s="599"/>
      <c r="W153" s="599"/>
      <c r="X153" s="599"/>
      <c r="Y153" s="599"/>
      <c r="Z153" s="401"/>
      <c r="AA153" s="399"/>
      <c r="AB153" s="400" t="e">
        <f t="shared" si="40"/>
        <v>#DIV/0!</v>
      </c>
      <c r="AC153" s="397"/>
      <c r="AD153" s="398"/>
      <c r="AE153" s="399"/>
      <c r="AF153" s="400" t="e">
        <f t="shared" si="41"/>
        <v>#DIV/0!</v>
      </c>
      <c r="AG153" s="397"/>
    </row>
    <row r="154" spans="1:33" ht="43.15" hidden="1" customHeight="1">
      <c r="A154" s="506"/>
      <c r="B154" s="497"/>
      <c r="C154" s="497"/>
      <c r="D154" s="497"/>
      <c r="E154" s="498"/>
      <c r="F154" s="397"/>
      <c r="G154" s="403"/>
      <c r="H154" s="404"/>
      <c r="I154" s="403"/>
      <c r="J154" s="390"/>
      <c r="K154" s="390"/>
      <c r="L154" s="416"/>
      <c r="M154" s="725"/>
      <c r="N154" s="712"/>
      <c r="O154" s="406"/>
      <c r="P154" s="406"/>
      <c r="Q154" s="406"/>
      <c r="R154" s="406"/>
      <c r="S154" s="406"/>
      <c r="T154" s="406"/>
      <c r="U154" s="409"/>
      <c r="V154" s="599"/>
      <c r="W154" s="599"/>
      <c r="X154" s="599"/>
      <c r="Y154" s="599"/>
      <c r="Z154" s="401"/>
      <c r="AA154" s="399"/>
      <c r="AB154" s="400" t="e">
        <f t="shared" si="40"/>
        <v>#DIV/0!</v>
      </c>
      <c r="AC154" s="397"/>
      <c r="AD154" s="398"/>
      <c r="AE154" s="399"/>
      <c r="AF154" s="400" t="e">
        <f t="shared" si="41"/>
        <v>#DIV/0!</v>
      </c>
      <c r="AG154" s="397"/>
    </row>
    <row r="155" spans="1:33" ht="43.15" hidden="1" customHeight="1">
      <c r="A155" s="506"/>
      <c r="B155" s="497"/>
      <c r="C155" s="497"/>
      <c r="D155" s="497"/>
      <c r="E155" s="498"/>
      <c r="F155" s="397"/>
      <c r="G155" s="403"/>
      <c r="H155" s="404"/>
      <c r="I155" s="403"/>
      <c r="J155" s="390"/>
      <c r="K155" s="390"/>
      <c r="L155" s="416"/>
      <c r="M155" s="725"/>
      <c r="N155" s="712"/>
      <c r="O155" s="406"/>
      <c r="P155" s="406"/>
      <c r="Q155" s="406"/>
      <c r="R155" s="406"/>
      <c r="S155" s="406"/>
      <c r="T155" s="406"/>
      <c r="U155" s="409"/>
      <c r="V155" s="599"/>
      <c r="W155" s="599"/>
      <c r="X155" s="599"/>
      <c r="Y155" s="599"/>
      <c r="Z155" s="401"/>
      <c r="AA155" s="399"/>
      <c r="AB155" s="400" t="e">
        <f t="shared" si="40"/>
        <v>#DIV/0!</v>
      </c>
      <c r="AC155" s="397"/>
      <c r="AD155" s="398"/>
      <c r="AE155" s="399"/>
      <c r="AF155" s="400" t="e">
        <f t="shared" si="41"/>
        <v>#DIV/0!</v>
      </c>
      <c r="AG155" s="397"/>
    </row>
    <row r="156" spans="1:33" ht="43.15" hidden="1" customHeight="1">
      <c r="A156" s="506"/>
      <c r="B156" s="497"/>
      <c r="C156" s="497"/>
      <c r="D156" s="497"/>
      <c r="E156" s="498"/>
      <c r="F156" s="397"/>
      <c r="G156" s="403"/>
      <c r="H156" s="404"/>
      <c r="I156" s="403"/>
      <c r="J156" s="390"/>
      <c r="K156" s="390"/>
      <c r="L156" s="416"/>
      <c r="M156" s="725"/>
      <c r="N156" s="712"/>
      <c r="O156" s="406"/>
      <c r="P156" s="406"/>
      <c r="Q156" s="406"/>
      <c r="R156" s="406"/>
      <c r="S156" s="406"/>
      <c r="T156" s="406"/>
      <c r="U156" s="409"/>
      <c r="V156" s="599"/>
      <c r="W156" s="599"/>
      <c r="X156" s="599"/>
      <c r="Y156" s="599"/>
      <c r="Z156" s="401"/>
      <c r="AA156" s="399"/>
      <c r="AB156" s="400" t="e">
        <f t="shared" si="40"/>
        <v>#DIV/0!</v>
      </c>
      <c r="AC156" s="397"/>
      <c r="AD156" s="398"/>
      <c r="AE156" s="399"/>
      <c r="AF156" s="400" t="e">
        <f t="shared" si="41"/>
        <v>#DIV/0!</v>
      </c>
      <c r="AG156" s="397"/>
    </row>
    <row r="157" spans="1:33" ht="43.15" hidden="1" customHeight="1">
      <c r="A157" s="506"/>
      <c r="B157" s="497"/>
      <c r="C157" s="497"/>
      <c r="D157" s="497"/>
      <c r="E157" s="498"/>
      <c r="F157" s="397"/>
      <c r="G157" s="403"/>
      <c r="H157" s="404"/>
      <c r="I157" s="403"/>
      <c r="J157" s="390"/>
      <c r="K157" s="390"/>
      <c r="L157" s="416"/>
      <c r="M157" s="725"/>
      <c r="N157" s="712"/>
      <c r="O157" s="406"/>
      <c r="P157" s="406"/>
      <c r="Q157" s="406"/>
      <c r="R157" s="406"/>
      <c r="S157" s="406"/>
      <c r="T157" s="406"/>
      <c r="U157" s="409"/>
      <c r="V157" s="599"/>
      <c r="W157" s="599"/>
      <c r="X157" s="599"/>
      <c r="Y157" s="599"/>
      <c r="Z157" s="401"/>
      <c r="AA157" s="399"/>
      <c r="AB157" s="400" t="e">
        <f t="shared" si="40"/>
        <v>#DIV/0!</v>
      </c>
      <c r="AC157" s="397"/>
      <c r="AD157" s="398"/>
      <c r="AE157" s="399"/>
      <c r="AF157" s="400" t="e">
        <f t="shared" si="41"/>
        <v>#DIV/0!</v>
      </c>
      <c r="AG157" s="397"/>
    </row>
    <row r="158" spans="1:33" ht="43.15" hidden="1" customHeight="1">
      <c r="A158" s="506"/>
      <c r="B158" s="497"/>
      <c r="C158" s="497"/>
      <c r="D158" s="497"/>
      <c r="E158" s="498"/>
      <c r="F158" s="397"/>
      <c r="G158" s="403"/>
      <c r="H158" s="404"/>
      <c r="I158" s="403"/>
      <c r="J158" s="390"/>
      <c r="K158" s="390"/>
      <c r="L158" s="416"/>
      <c r="M158" s="725"/>
      <c r="N158" s="712"/>
      <c r="O158" s="406"/>
      <c r="P158" s="406"/>
      <c r="Q158" s="406"/>
      <c r="R158" s="406"/>
      <c r="S158" s="406"/>
      <c r="T158" s="406"/>
      <c r="U158" s="409"/>
      <c r="V158" s="599"/>
      <c r="W158" s="599"/>
      <c r="X158" s="599"/>
      <c r="Y158" s="599"/>
      <c r="Z158" s="401"/>
      <c r="AA158" s="399"/>
      <c r="AB158" s="400" t="e">
        <f t="shared" si="40"/>
        <v>#DIV/0!</v>
      </c>
      <c r="AC158" s="397"/>
      <c r="AD158" s="398"/>
      <c r="AE158" s="399"/>
      <c r="AF158" s="400" t="e">
        <f t="shared" si="41"/>
        <v>#DIV/0!</v>
      </c>
      <c r="AG158" s="397"/>
    </row>
    <row r="159" spans="1:33" ht="43.15" hidden="1" customHeight="1">
      <c r="A159" s="506"/>
      <c r="B159" s="497"/>
      <c r="C159" s="497"/>
      <c r="D159" s="497"/>
      <c r="E159" s="498"/>
      <c r="F159" s="397"/>
      <c r="G159" s="403"/>
      <c r="H159" s="404"/>
      <c r="I159" s="403"/>
      <c r="J159" s="390"/>
      <c r="K159" s="390"/>
      <c r="L159" s="416"/>
      <c r="M159" s="725"/>
      <c r="N159" s="712"/>
      <c r="O159" s="406"/>
      <c r="P159" s="406"/>
      <c r="Q159" s="406"/>
      <c r="R159" s="406"/>
      <c r="S159" s="406"/>
      <c r="T159" s="406"/>
      <c r="U159" s="409"/>
      <c r="V159" s="599"/>
      <c r="W159" s="599"/>
      <c r="X159" s="599"/>
      <c r="Y159" s="599"/>
      <c r="Z159" s="401"/>
      <c r="AA159" s="399"/>
      <c r="AB159" s="400" t="e">
        <f t="shared" si="40"/>
        <v>#DIV/0!</v>
      </c>
      <c r="AC159" s="397"/>
      <c r="AD159" s="398"/>
      <c r="AE159" s="399"/>
      <c r="AF159" s="400" t="e">
        <f t="shared" si="41"/>
        <v>#DIV/0!</v>
      </c>
      <c r="AG159" s="397"/>
    </row>
    <row r="160" spans="1:33" ht="43.15" hidden="1" customHeight="1">
      <c r="A160" s="506"/>
      <c r="B160" s="497"/>
      <c r="C160" s="497"/>
      <c r="D160" s="497"/>
      <c r="E160" s="498"/>
      <c r="F160" s="397"/>
      <c r="G160" s="403"/>
      <c r="H160" s="404"/>
      <c r="I160" s="403"/>
      <c r="J160" s="390"/>
      <c r="K160" s="390"/>
      <c r="L160" s="416"/>
      <c r="M160" s="725"/>
      <c r="N160" s="712"/>
      <c r="O160" s="406"/>
      <c r="P160" s="406"/>
      <c r="Q160" s="406"/>
      <c r="R160" s="406"/>
      <c r="S160" s="406"/>
      <c r="T160" s="406"/>
      <c r="U160" s="409"/>
      <c r="V160" s="599"/>
      <c r="W160" s="599"/>
      <c r="X160" s="599"/>
      <c r="Y160" s="599"/>
      <c r="Z160" s="401"/>
      <c r="AA160" s="399"/>
      <c r="AB160" s="400" t="e">
        <f t="shared" si="40"/>
        <v>#DIV/0!</v>
      </c>
      <c r="AC160" s="397"/>
      <c r="AD160" s="398"/>
      <c r="AE160" s="399"/>
      <c r="AF160" s="400" t="e">
        <f t="shared" si="41"/>
        <v>#DIV/0!</v>
      </c>
      <c r="AG160" s="397"/>
    </row>
    <row r="161" spans="1:33" ht="43.15" hidden="1" customHeight="1">
      <c r="A161" s="506"/>
      <c r="B161" s="497"/>
      <c r="C161" s="497"/>
      <c r="D161" s="497"/>
      <c r="E161" s="498"/>
      <c r="F161" s="397"/>
      <c r="G161" s="403"/>
      <c r="H161" s="404"/>
      <c r="I161" s="403"/>
      <c r="J161" s="390"/>
      <c r="K161" s="390"/>
      <c r="L161" s="416"/>
      <c r="M161" s="725"/>
      <c r="N161" s="712"/>
      <c r="O161" s="406"/>
      <c r="P161" s="406"/>
      <c r="Q161" s="406"/>
      <c r="R161" s="406"/>
      <c r="S161" s="406"/>
      <c r="T161" s="406"/>
      <c r="U161" s="409"/>
      <c r="V161" s="599"/>
      <c r="W161" s="599"/>
      <c r="X161" s="599"/>
      <c r="Y161" s="599"/>
      <c r="Z161" s="401"/>
      <c r="AA161" s="399"/>
      <c r="AB161" s="400" t="e">
        <f t="shared" si="40"/>
        <v>#DIV/0!</v>
      </c>
      <c r="AC161" s="397"/>
      <c r="AD161" s="398"/>
      <c r="AE161" s="399"/>
      <c r="AF161" s="400" t="e">
        <f t="shared" si="41"/>
        <v>#DIV/0!</v>
      </c>
      <c r="AG161" s="397"/>
    </row>
    <row r="162" spans="1:33" ht="43.15" hidden="1" customHeight="1">
      <c r="A162" s="506"/>
      <c r="B162" s="497"/>
      <c r="C162" s="497"/>
      <c r="D162" s="497"/>
      <c r="E162" s="498"/>
      <c r="F162" s="397"/>
      <c r="G162" s="403"/>
      <c r="H162" s="404"/>
      <c r="I162" s="403"/>
      <c r="J162" s="390"/>
      <c r="K162" s="390"/>
      <c r="L162" s="416"/>
      <c r="M162" s="725"/>
      <c r="N162" s="712"/>
      <c r="O162" s="406"/>
      <c r="P162" s="406"/>
      <c r="Q162" s="406"/>
      <c r="R162" s="406"/>
      <c r="S162" s="406"/>
      <c r="T162" s="406"/>
      <c r="U162" s="409"/>
      <c r="V162" s="599"/>
      <c r="W162" s="599"/>
      <c r="X162" s="599"/>
      <c r="Y162" s="599"/>
      <c r="Z162" s="401"/>
      <c r="AA162" s="399"/>
      <c r="AB162" s="400" t="e">
        <f t="shared" si="40"/>
        <v>#DIV/0!</v>
      </c>
      <c r="AC162" s="397"/>
      <c r="AD162" s="398"/>
      <c r="AE162" s="399"/>
      <c r="AF162" s="400" t="e">
        <f t="shared" si="41"/>
        <v>#DIV/0!</v>
      </c>
      <c r="AG162" s="397"/>
    </row>
    <row r="163" spans="1:33" ht="43.15" hidden="1" customHeight="1">
      <c r="A163" s="506"/>
      <c r="B163" s="497"/>
      <c r="C163" s="497"/>
      <c r="D163" s="497"/>
      <c r="E163" s="498"/>
      <c r="F163" s="397"/>
      <c r="G163" s="403"/>
      <c r="H163" s="404"/>
      <c r="I163" s="403"/>
      <c r="J163" s="390"/>
      <c r="K163" s="390"/>
      <c r="L163" s="416"/>
      <c r="M163" s="725"/>
      <c r="N163" s="712"/>
      <c r="O163" s="406"/>
      <c r="P163" s="406"/>
      <c r="Q163" s="406"/>
      <c r="R163" s="406"/>
      <c r="S163" s="406"/>
      <c r="T163" s="406"/>
      <c r="U163" s="409"/>
      <c r="V163" s="599"/>
      <c r="W163" s="599"/>
      <c r="X163" s="599"/>
      <c r="Y163" s="599"/>
      <c r="Z163" s="401"/>
      <c r="AA163" s="399"/>
      <c r="AB163" s="400" t="e">
        <f t="shared" si="40"/>
        <v>#DIV/0!</v>
      </c>
      <c r="AC163" s="397"/>
      <c r="AD163" s="398"/>
      <c r="AE163" s="399"/>
      <c r="AF163" s="400" t="e">
        <f t="shared" si="41"/>
        <v>#DIV/0!</v>
      </c>
      <c r="AG163" s="397"/>
    </row>
    <row r="164" spans="1:33" ht="43.15" hidden="1" customHeight="1">
      <c r="A164" s="506"/>
      <c r="B164" s="497"/>
      <c r="C164" s="497"/>
      <c r="D164" s="497"/>
      <c r="E164" s="498"/>
      <c r="F164" s="397"/>
      <c r="G164" s="403"/>
      <c r="H164" s="404"/>
      <c r="I164" s="403"/>
      <c r="J164" s="390"/>
      <c r="K164" s="390"/>
      <c r="L164" s="416"/>
      <c r="M164" s="725"/>
      <c r="N164" s="712"/>
      <c r="O164" s="406"/>
      <c r="P164" s="406"/>
      <c r="Q164" s="406"/>
      <c r="R164" s="406"/>
      <c r="S164" s="406"/>
      <c r="T164" s="406"/>
      <c r="U164" s="409"/>
      <c r="V164" s="599"/>
      <c r="W164" s="599"/>
      <c r="X164" s="599"/>
      <c r="Y164" s="599"/>
      <c r="Z164" s="401"/>
      <c r="AA164" s="399"/>
      <c r="AB164" s="400" t="e">
        <f t="shared" si="40"/>
        <v>#DIV/0!</v>
      </c>
      <c r="AC164" s="397"/>
      <c r="AD164" s="398"/>
      <c r="AE164" s="399"/>
      <c r="AF164" s="400" t="e">
        <f t="shared" si="41"/>
        <v>#DIV/0!</v>
      </c>
      <c r="AG164" s="397"/>
    </row>
    <row r="165" spans="1:33" ht="43.15" hidden="1" customHeight="1">
      <c r="A165" s="506"/>
      <c r="B165" s="497"/>
      <c r="C165" s="497"/>
      <c r="D165" s="497"/>
      <c r="E165" s="498"/>
      <c r="F165" s="397"/>
      <c r="G165" s="403"/>
      <c r="H165" s="404"/>
      <c r="I165" s="403"/>
      <c r="J165" s="390"/>
      <c r="K165" s="390"/>
      <c r="L165" s="416"/>
      <c r="M165" s="725"/>
      <c r="N165" s="712"/>
      <c r="O165" s="406"/>
      <c r="P165" s="406"/>
      <c r="Q165" s="406"/>
      <c r="R165" s="406"/>
      <c r="S165" s="406"/>
      <c r="T165" s="406"/>
      <c r="U165" s="409"/>
      <c r="V165" s="599"/>
      <c r="W165" s="599"/>
      <c r="X165" s="599"/>
      <c r="Y165" s="599"/>
      <c r="Z165" s="401"/>
      <c r="AA165" s="399"/>
      <c r="AB165" s="400" t="e">
        <f t="shared" si="40"/>
        <v>#DIV/0!</v>
      </c>
      <c r="AC165" s="397"/>
      <c r="AD165" s="398"/>
      <c r="AE165" s="399"/>
      <c r="AF165" s="400" t="e">
        <f t="shared" si="41"/>
        <v>#DIV/0!</v>
      </c>
      <c r="AG165" s="397"/>
    </row>
    <row r="166" spans="1:33" ht="43.15" hidden="1" customHeight="1">
      <c r="A166" s="506"/>
      <c r="B166" s="497"/>
      <c r="C166" s="497"/>
      <c r="D166" s="497"/>
      <c r="E166" s="498"/>
      <c r="F166" s="397"/>
      <c r="G166" s="403"/>
      <c r="H166" s="404"/>
      <c r="I166" s="403"/>
      <c r="J166" s="390"/>
      <c r="K166" s="390"/>
      <c r="L166" s="416"/>
      <c r="M166" s="725"/>
      <c r="N166" s="712"/>
      <c r="O166" s="406"/>
      <c r="P166" s="406"/>
      <c r="Q166" s="406"/>
      <c r="R166" s="406"/>
      <c r="S166" s="406"/>
      <c r="T166" s="406"/>
      <c r="U166" s="409"/>
      <c r="V166" s="599"/>
      <c r="W166" s="599"/>
      <c r="X166" s="599"/>
      <c r="Y166" s="599"/>
      <c r="Z166" s="401"/>
      <c r="AA166" s="399"/>
      <c r="AB166" s="400" t="e">
        <f t="shared" si="40"/>
        <v>#DIV/0!</v>
      </c>
      <c r="AC166" s="397"/>
      <c r="AD166" s="398"/>
      <c r="AE166" s="399"/>
      <c r="AF166" s="400" t="e">
        <f t="shared" si="41"/>
        <v>#DIV/0!</v>
      </c>
      <c r="AG166" s="397"/>
    </row>
    <row r="167" spans="1:33" ht="43.15" hidden="1" customHeight="1">
      <c r="A167" s="506"/>
      <c r="B167" s="497"/>
      <c r="C167" s="497"/>
      <c r="D167" s="497"/>
      <c r="E167" s="498"/>
      <c r="F167" s="397"/>
      <c r="G167" s="403"/>
      <c r="H167" s="404"/>
      <c r="I167" s="403"/>
      <c r="J167" s="390"/>
      <c r="K167" s="390"/>
      <c r="L167" s="416"/>
      <c r="M167" s="725"/>
      <c r="N167" s="712"/>
      <c r="O167" s="406"/>
      <c r="P167" s="406"/>
      <c r="Q167" s="406"/>
      <c r="R167" s="406"/>
      <c r="S167" s="406"/>
      <c r="T167" s="406"/>
      <c r="U167" s="409"/>
      <c r="V167" s="599"/>
      <c r="W167" s="599"/>
      <c r="X167" s="599"/>
      <c r="Y167" s="599"/>
      <c r="Z167" s="401"/>
      <c r="AA167" s="399"/>
      <c r="AB167" s="400" t="e">
        <f t="shared" si="40"/>
        <v>#DIV/0!</v>
      </c>
      <c r="AC167" s="397"/>
      <c r="AD167" s="398"/>
      <c r="AE167" s="399"/>
      <c r="AF167" s="400" t="e">
        <f t="shared" si="41"/>
        <v>#DIV/0!</v>
      </c>
      <c r="AG167" s="397"/>
    </row>
    <row r="168" spans="1:33" ht="43.15" hidden="1" customHeight="1">
      <c r="A168" s="506"/>
      <c r="B168" s="497"/>
      <c r="C168" s="497"/>
      <c r="D168" s="497"/>
      <c r="E168" s="498"/>
      <c r="F168" s="397"/>
      <c r="G168" s="403"/>
      <c r="H168" s="404"/>
      <c r="I168" s="403"/>
      <c r="J168" s="390"/>
      <c r="K168" s="390"/>
      <c r="L168" s="416"/>
      <c r="M168" s="725"/>
      <c r="N168" s="712"/>
      <c r="O168" s="406"/>
      <c r="P168" s="406"/>
      <c r="Q168" s="406"/>
      <c r="R168" s="406"/>
      <c r="S168" s="406"/>
      <c r="T168" s="406"/>
      <c r="U168" s="409"/>
      <c r="V168" s="599"/>
      <c r="W168" s="599"/>
      <c r="X168" s="599"/>
      <c r="Y168" s="599"/>
      <c r="Z168" s="401"/>
      <c r="AA168" s="399"/>
      <c r="AB168" s="400" t="e">
        <f t="shared" si="40"/>
        <v>#DIV/0!</v>
      </c>
      <c r="AC168" s="397"/>
      <c r="AD168" s="398"/>
      <c r="AE168" s="399"/>
      <c r="AF168" s="400" t="e">
        <f t="shared" si="41"/>
        <v>#DIV/0!</v>
      </c>
      <c r="AG168" s="397"/>
    </row>
    <row r="169" spans="1:33" ht="19.899999999999999" hidden="1" customHeight="1">
      <c r="A169" s="506"/>
      <c r="B169" s="497"/>
      <c r="C169" s="497"/>
      <c r="D169" s="497"/>
      <c r="E169" s="498"/>
      <c r="F169" s="397"/>
      <c r="G169" s="403"/>
      <c r="H169" s="404"/>
      <c r="I169" s="403"/>
      <c r="J169" s="390"/>
      <c r="K169" s="390"/>
      <c r="L169" s="416"/>
      <c r="M169" s="725"/>
      <c r="N169" s="712"/>
      <c r="O169" s="406"/>
      <c r="P169" s="406"/>
      <c r="Q169" s="406"/>
      <c r="R169" s="406"/>
      <c r="S169" s="406"/>
      <c r="T169" s="406"/>
      <c r="U169" s="409"/>
      <c r="V169" s="599"/>
      <c r="W169" s="599"/>
      <c r="X169" s="599"/>
      <c r="Y169" s="599"/>
      <c r="Z169" s="401"/>
      <c r="AA169" s="399"/>
      <c r="AB169" s="400" t="e">
        <f t="shared" si="40"/>
        <v>#DIV/0!</v>
      </c>
      <c r="AC169" s="397"/>
      <c r="AD169" s="398"/>
      <c r="AE169" s="399"/>
      <c r="AF169" s="400" t="e">
        <f t="shared" si="41"/>
        <v>#DIV/0!</v>
      </c>
      <c r="AG169" s="397"/>
    </row>
    <row r="170" spans="1:33" ht="19.899999999999999" hidden="1" customHeight="1">
      <c r="A170" s="506"/>
      <c r="B170" s="497"/>
      <c r="C170" s="497"/>
      <c r="D170" s="497"/>
      <c r="E170" s="498"/>
      <c r="F170" s="397"/>
      <c r="G170" s="403"/>
      <c r="H170" s="404"/>
      <c r="I170" s="403"/>
      <c r="J170" s="390"/>
      <c r="K170" s="390"/>
      <c r="L170" s="416"/>
      <c r="M170" s="725"/>
      <c r="N170" s="712"/>
      <c r="O170" s="406"/>
      <c r="P170" s="406"/>
      <c r="Q170" s="406"/>
      <c r="R170" s="406"/>
      <c r="S170" s="406"/>
      <c r="T170" s="406"/>
      <c r="U170" s="409"/>
      <c r="V170" s="599"/>
      <c r="W170" s="599"/>
      <c r="X170" s="599"/>
      <c r="Y170" s="599"/>
      <c r="Z170" s="401"/>
      <c r="AA170" s="399"/>
      <c r="AB170" s="400" t="e">
        <f t="shared" si="40"/>
        <v>#DIV/0!</v>
      </c>
      <c r="AC170" s="397"/>
      <c r="AD170" s="398"/>
      <c r="AE170" s="399"/>
      <c r="AF170" s="400" t="e">
        <f t="shared" si="41"/>
        <v>#DIV/0!</v>
      </c>
      <c r="AG170" s="397"/>
    </row>
    <row r="171" spans="1:33" ht="19.899999999999999" hidden="1" customHeight="1">
      <c r="A171" s="506"/>
      <c r="B171" s="497"/>
      <c r="C171" s="497"/>
      <c r="D171" s="497"/>
      <c r="E171" s="498"/>
      <c r="F171" s="397"/>
      <c r="G171" s="403"/>
      <c r="H171" s="404"/>
      <c r="I171" s="403"/>
      <c r="J171" s="390"/>
      <c r="K171" s="390"/>
      <c r="L171" s="416"/>
      <c r="M171" s="725"/>
      <c r="N171" s="712"/>
      <c r="O171" s="406"/>
      <c r="P171" s="406"/>
      <c r="Q171" s="406"/>
      <c r="R171" s="406"/>
      <c r="S171" s="406"/>
      <c r="T171" s="406"/>
      <c r="U171" s="409"/>
      <c r="V171" s="599"/>
      <c r="W171" s="599"/>
      <c r="X171" s="599"/>
      <c r="Y171" s="599"/>
      <c r="Z171" s="401"/>
      <c r="AA171" s="399"/>
      <c r="AB171" s="400" t="e">
        <f t="shared" si="40"/>
        <v>#DIV/0!</v>
      </c>
      <c r="AC171" s="397"/>
      <c r="AD171" s="398"/>
      <c r="AE171" s="399"/>
      <c r="AF171" s="400" t="e">
        <f t="shared" si="41"/>
        <v>#DIV/0!</v>
      </c>
      <c r="AG171" s="397"/>
    </row>
    <row r="172" spans="1:33" ht="19.899999999999999" hidden="1" customHeight="1">
      <c r="A172" s="506"/>
      <c r="B172" s="497"/>
      <c r="C172" s="497"/>
      <c r="D172" s="497"/>
      <c r="E172" s="498"/>
      <c r="F172" s="397"/>
      <c r="G172" s="403"/>
      <c r="H172" s="404"/>
      <c r="I172" s="403"/>
      <c r="J172" s="390"/>
      <c r="K172" s="390"/>
      <c r="L172" s="416"/>
      <c r="M172" s="725"/>
      <c r="N172" s="712"/>
      <c r="O172" s="406"/>
      <c r="P172" s="406"/>
      <c r="Q172" s="406"/>
      <c r="R172" s="406"/>
      <c r="S172" s="406"/>
      <c r="T172" s="406"/>
      <c r="U172" s="409"/>
      <c r="V172" s="599"/>
      <c r="W172" s="599"/>
      <c r="X172" s="599"/>
      <c r="Y172" s="599"/>
      <c r="Z172" s="401"/>
      <c r="AA172" s="399"/>
      <c r="AB172" s="400" t="e">
        <f t="shared" si="40"/>
        <v>#DIV/0!</v>
      </c>
      <c r="AC172" s="397"/>
      <c r="AD172" s="398"/>
      <c r="AE172" s="399"/>
      <c r="AF172" s="400" t="e">
        <f t="shared" si="41"/>
        <v>#DIV/0!</v>
      </c>
      <c r="AG172" s="397"/>
    </row>
    <row r="173" spans="1:33" ht="19.899999999999999" hidden="1" customHeight="1">
      <c r="A173" s="506"/>
      <c r="B173" s="497"/>
      <c r="C173" s="497"/>
      <c r="D173" s="497"/>
      <c r="E173" s="498"/>
      <c r="F173" s="397"/>
      <c r="G173" s="403"/>
      <c r="H173" s="404"/>
      <c r="I173" s="403"/>
      <c r="J173" s="390"/>
      <c r="K173" s="390"/>
      <c r="L173" s="416"/>
      <c r="M173" s="725"/>
      <c r="N173" s="712"/>
      <c r="O173" s="406"/>
      <c r="P173" s="406"/>
      <c r="Q173" s="406"/>
      <c r="R173" s="406"/>
      <c r="S173" s="406"/>
      <c r="T173" s="406"/>
      <c r="U173" s="409"/>
      <c r="V173" s="599"/>
      <c r="W173" s="599"/>
      <c r="X173" s="599"/>
      <c r="Y173" s="599"/>
      <c r="Z173" s="401"/>
      <c r="AA173" s="399"/>
      <c r="AB173" s="400" t="e">
        <f t="shared" si="40"/>
        <v>#DIV/0!</v>
      </c>
      <c r="AC173" s="397"/>
      <c r="AD173" s="398"/>
      <c r="AE173" s="399"/>
      <c r="AF173" s="400" t="e">
        <f t="shared" si="41"/>
        <v>#DIV/0!</v>
      </c>
      <c r="AG173" s="397"/>
    </row>
    <row r="174" spans="1:33" ht="19.899999999999999" hidden="1" customHeight="1">
      <c r="A174" s="506"/>
      <c r="B174" s="497"/>
      <c r="C174" s="497"/>
      <c r="D174" s="497"/>
      <c r="E174" s="498"/>
      <c r="F174" s="397"/>
      <c r="G174" s="403"/>
      <c r="H174" s="404"/>
      <c r="I174" s="403"/>
      <c r="J174" s="390"/>
      <c r="K174" s="390"/>
      <c r="L174" s="416"/>
      <c r="M174" s="725"/>
      <c r="N174" s="712"/>
      <c r="O174" s="406"/>
      <c r="P174" s="406"/>
      <c r="Q174" s="406"/>
      <c r="R174" s="406"/>
      <c r="S174" s="406"/>
      <c r="T174" s="406"/>
      <c r="U174" s="409"/>
      <c r="V174" s="599"/>
      <c r="W174" s="599"/>
      <c r="X174" s="599"/>
      <c r="Y174" s="599"/>
      <c r="Z174" s="401"/>
      <c r="AA174" s="399"/>
      <c r="AB174" s="400" t="e">
        <f t="shared" si="40"/>
        <v>#DIV/0!</v>
      </c>
      <c r="AC174" s="397"/>
      <c r="AD174" s="398"/>
      <c r="AE174" s="399"/>
      <c r="AF174" s="400" t="e">
        <f t="shared" si="41"/>
        <v>#DIV/0!</v>
      </c>
      <c r="AG174" s="397"/>
    </row>
    <row r="175" spans="1:33" ht="19.899999999999999" hidden="1" customHeight="1">
      <c r="A175" s="506"/>
      <c r="B175" s="497"/>
      <c r="C175" s="497"/>
      <c r="D175" s="497"/>
      <c r="E175" s="498"/>
      <c r="F175" s="397"/>
      <c r="G175" s="403"/>
      <c r="H175" s="404"/>
      <c r="I175" s="403"/>
      <c r="J175" s="390"/>
      <c r="K175" s="390"/>
      <c r="L175" s="416"/>
      <c r="M175" s="725"/>
      <c r="N175" s="712"/>
      <c r="O175" s="406"/>
      <c r="P175" s="406"/>
      <c r="Q175" s="406"/>
      <c r="R175" s="406"/>
      <c r="S175" s="406"/>
      <c r="T175" s="406"/>
      <c r="U175" s="409"/>
      <c r="V175" s="599"/>
      <c r="W175" s="599"/>
      <c r="X175" s="599"/>
      <c r="Y175" s="599"/>
      <c r="Z175" s="401"/>
      <c r="AA175" s="399"/>
      <c r="AB175" s="400" t="e">
        <f t="shared" si="40"/>
        <v>#DIV/0!</v>
      </c>
      <c r="AC175" s="397"/>
      <c r="AD175" s="398"/>
      <c r="AE175" s="399"/>
      <c r="AF175" s="400" t="e">
        <f t="shared" si="41"/>
        <v>#DIV/0!</v>
      </c>
      <c r="AG175" s="397"/>
    </row>
    <row r="176" spans="1:33" ht="19.899999999999999" hidden="1" customHeight="1">
      <c r="A176" s="506"/>
      <c r="B176" s="497"/>
      <c r="C176" s="497"/>
      <c r="D176" s="497"/>
      <c r="E176" s="498"/>
      <c r="F176" s="397"/>
      <c r="G176" s="403"/>
      <c r="H176" s="404"/>
      <c r="I176" s="403"/>
      <c r="J176" s="390"/>
      <c r="K176" s="390"/>
      <c r="L176" s="416"/>
      <c r="M176" s="725"/>
      <c r="N176" s="712"/>
      <c r="O176" s="406"/>
      <c r="P176" s="406"/>
      <c r="Q176" s="406"/>
      <c r="R176" s="406"/>
      <c r="S176" s="406"/>
      <c r="T176" s="406"/>
      <c r="U176" s="409"/>
      <c r="V176" s="599"/>
      <c r="W176" s="599"/>
      <c r="X176" s="599"/>
      <c r="Y176" s="599"/>
      <c r="Z176" s="401"/>
      <c r="AA176" s="399"/>
      <c r="AB176" s="400" t="e">
        <f t="shared" si="40"/>
        <v>#DIV/0!</v>
      </c>
      <c r="AC176" s="397"/>
      <c r="AD176" s="398"/>
      <c r="AE176" s="399"/>
      <c r="AF176" s="400" t="e">
        <f t="shared" si="41"/>
        <v>#DIV/0!</v>
      </c>
      <c r="AG176" s="397"/>
    </row>
    <row r="177" spans="1:33" ht="19.899999999999999" hidden="1" customHeight="1">
      <c r="A177" s="506"/>
      <c r="B177" s="497"/>
      <c r="C177" s="497"/>
      <c r="D177" s="497"/>
      <c r="E177" s="498"/>
      <c r="F177" s="397"/>
      <c r="G177" s="403"/>
      <c r="H177" s="404"/>
      <c r="I177" s="403"/>
      <c r="J177" s="390"/>
      <c r="K177" s="390"/>
      <c r="L177" s="416"/>
      <c r="M177" s="725"/>
      <c r="N177" s="712"/>
      <c r="O177" s="406"/>
      <c r="P177" s="406"/>
      <c r="Q177" s="406"/>
      <c r="R177" s="406"/>
      <c r="S177" s="406"/>
      <c r="T177" s="406"/>
      <c r="U177" s="409"/>
      <c r="V177" s="599"/>
      <c r="W177" s="599"/>
      <c r="X177" s="599"/>
      <c r="Y177" s="599"/>
      <c r="Z177" s="401"/>
      <c r="AA177" s="399"/>
      <c r="AB177" s="400" t="e">
        <f t="shared" si="40"/>
        <v>#DIV/0!</v>
      </c>
      <c r="AC177" s="397"/>
      <c r="AD177" s="398"/>
      <c r="AE177" s="399"/>
      <c r="AF177" s="400" t="e">
        <f t="shared" si="41"/>
        <v>#DIV/0!</v>
      </c>
      <c r="AG177" s="397"/>
    </row>
    <row r="178" spans="1:33" ht="19.899999999999999" hidden="1" customHeight="1">
      <c r="A178" s="506"/>
      <c r="B178" s="497"/>
      <c r="C178" s="497"/>
      <c r="D178" s="497"/>
      <c r="E178" s="498"/>
      <c r="F178" s="397"/>
      <c r="G178" s="403"/>
      <c r="H178" s="404"/>
      <c r="I178" s="403"/>
      <c r="J178" s="390"/>
      <c r="K178" s="390"/>
      <c r="L178" s="416"/>
      <c r="M178" s="725"/>
      <c r="N178" s="712"/>
      <c r="O178" s="406"/>
      <c r="P178" s="406"/>
      <c r="Q178" s="406"/>
      <c r="R178" s="406"/>
      <c r="S178" s="406"/>
      <c r="T178" s="406"/>
      <c r="U178" s="409"/>
      <c r="V178" s="599"/>
      <c r="W178" s="599"/>
      <c r="X178" s="599"/>
      <c r="Y178" s="599"/>
      <c r="Z178" s="401"/>
      <c r="AA178" s="399"/>
      <c r="AB178" s="400" t="e">
        <f t="shared" si="40"/>
        <v>#DIV/0!</v>
      </c>
      <c r="AC178" s="397"/>
      <c r="AD178" s="398"/>
      <c r="AE178" s="399"/>
      <c r="AF178" s="400" t="e">
        <f t="shared" si="41"/>
        <v>#DIV/0!</v>
      </c>
      <c r="AG178" s="397"/>
    </row>
    <row r="179" spans="1:33" ht="19.899999999999999" hidden="1" customHeight="1">
      <c r="A179" s="506"/>
      <c r="B179" s="497"/>
      <c r="C179" s="497"/>
      <c r="D179" s="497"/>
      <c r="E179" s="498"/>
      <c r="F179" s="397"/>
      <c r="G179" s="403"/>
      <c r="H179" s="404"/>
      <c r="I179" s="403"/>
      <c r="J179" s="390"/>
      <c r="K179" s="390"/>
      <c r="L179" s="416"/>
      <c r="M179" s="725"/>
      <c r="N179" s="712"/>
      <c r="O179" s="406"/>
      <c r="P179" s="406"/>
      <c r="Q179" s="406"/>
      <c r="R179" s="406"/>
      <c r="S179" s="406"/>
      <c r="T179" s="406"/>
      <c r="U179" s="409"/>
      <c r="V179" s="599"/>
      <c r="W179" s="599"/>
      <c r="X179" s="599"/>
      <c r="Y179" s="599"/>
      <c r="Z179" s="401"/>
      <c r="AA179" s="399"/>
      <c r="AB179" s="400" t="e">
        <f t="shared" si="40"/>
        <v>#DIV/0!</v>
      </c>
      <c r="AC179" s="397"/>
      <c r="AD179" s="398"/>
      <c r="AE179" s="399"/>
      <c r="AF179" s="400" t="e">
        <f t="shared" si="41"/>
        <v>#DIV/0!</v>
      </c>
      <c r="AG179" s="397"/>
    </row>
    <row r="180" spans="1:33" ht="19.899999999999999" hidden="1" customHeight="1">
      <c r="A180" s="506"/>
      <c r="B180" s="497"/>
      <c r="C180" s="497"/>
      <c r="D180" s="497"/>
      <c r="E180" s="498"/>
      <c r="F180" s="397"/>
      <c r="G180" s="403"/>
      <c r="H180" s="404"/>
      <c r="I180" s="403"/>
      <c r="J180" s="390"/>
      <c r="K180" s="390"/>
      <c r="L180" s="416"/>
      <c r="M180" s="725"/>
      <c r="N180" s="712"/>
      <c r="O180" s="406"/>
      <c r="P180" s="406"/>
      <c r="Q180" s="406"/>
      <c r="R180" s="406"/>
      <c r="S180" s="406"/>
      <c r="T180" s="406"/>
      <c r="U180" s="409"/>
      <c r="V180" s="599"/>
      <c r="W180" s="599"/>
      <c r="X180" s="599"/>
      <c r="Y180" s="599"/>
      <c r="Z180" s="401"/>
      <c r="AA180" s="399"/>
      <c r="AB180" s="400" t="e">
        <f t="shared" si="40"/>
        <v>#DIV/0!</v>
      </c>
      <c r="AC180" s="397"/>
      <c r="AD180" s="398"/>
      <c r="AE180" s="399"/>
      <c r="AF180" s="400" t="e">
        <f t="shared" si="41"/>
        <v>#DIV/0!</v>
      </c>
      <c r="AG180" s="397"/>
    </row>
    <row r="181" spans="1:33" ht="19.899999999999999" hidden="1" customHeight="1">
      <c r="A181" s="506"/>
      <c r="B181" s="497"/>
      <c r="C181" s="497"/>
      <c r="D181" s="497"/>
      <c r="E181" s="498"/>
      <c r="F181" s="397"/>
      <c r="G181" s="403"/>
      <c r="H181" s="404"/>
      <c r="I181" s="403"/>
      <c r="J181" s="390"/>
      <c r="K181" s="390"/>
      <c r="L181" s="416"/>
      <c r="M181" s="725"/>
      <c r="N181" s="712"/>
      <c r="O181" s="406"/>
      <c r="P181" s="406"/>
      <c r="Q181" s="406"/>
      <c r="R181" s="406"/>
      <c r="S181" s="406"/>
      <c r="T181" s="406"/>
      <c r="U181" s="409"/>
      <c r="V181" s="599"/>
      <c r="W181" s="599"/>
      <c r="X181" s="599"/>
      <c r="Y181" s="599"/>
      <c r="Z181" s="401"/>
      <c r="AA181" s="399"/>
      <c r="AB181" s="400" t="e">
        <f t="shared" si="40"/>
        <v>#DIV/0!</v>
      </c>
      <c r="AC181" s="397"/>
      <c r="AD181" s="398"/>
      <c r="AE181" s="399"/>
      <c r="AF181" s="400" t="e">
        <f t="shared" si="41"/>
        <v>#DIV/0!</v>
      </c>
      <c r="AG181" s="397"/>
    </row>
    <row r="182" spans="1:33" ht="19.899999999999999" hidden="1" customHeight="1">
      <c r="A182" s="506"/>
      <c r="B182" s="497"/>
      <c r="C182" s="497"/>
      <c r="D182" s="497"/>
      <c r="E182" s="498"/>
      <c r="F182" s="397"/>
      <c r="G182" s="403"/>
      <c r="H182" s="404"/>
      <c r="I182" s="403"/>
      <c r="J182" s="390"/>
      <c r="K182" s="390"/>
      <c r="L182" s="416"/>
      <c r="M182" s="725"/>
      <c r="N182" s="712"/>
      <c r="O182" s="406"/>
      <c r="P182" s="406"/>
      <c r="Q182" s="406"/>
      <c r="R182" s="406"/>
      <c r="S182" s="406"/>
      <c r="T182" s="406"/>
      <c r="U182" s="409"/>
      <c r="V182" s="599"/>
      <c r="W182" s="599"/>
      <c r="X182" s="599"/>
      <c r="Y182" s="599"/>
      <c r="Z182" s="401"/>
      <c r="AA182" s="399"/>
      <c r="AB182" s="400" t="e">
        <f t="shared" si="40"/>
        <v>#DIV/0!</v>
      </c>
      <c r="AC182" s="397"/>
      <c r="AD182" s="398"/>
      <c r="AE182" s="399"/>
      <c r="AF182" s="400" t="e">
        <f t="shared" si="41"/>
        <v>#DIV/0!</v>
      </c>
      <c r="AG182" s="397"/>
    </row>
    <row r="183" spans="1:33" ht="19.899999999999999" hidden="1" customHeight="1">
      <c r="A183" s="506"/>
      <c r="B183" s="497"/>
      <c r="C183" s="497"/>
      <c r="D183" s="497"/>
      <c r="E183" s="498"/>
      <c r="F183" s="397"/>
      <c r="G183" s="403"/>
      <c r="H183" s="404"/>
      <c r="I183" s="403"/>
      <c r="J183" s="390"/>
      <c r="K183" s="390"/>
      <c r="L183" s="416"/>
      <c r="M183" s="725"/>
      <c r="N183" s="712"/>
      <c r="O183" s="406"/>
      <c r="P183" s="406"/>
      <c r="Q183" s="406"/>
      <c r="R183" s="406"/>
      <c r="S183" s="406"/>
      <c r="T183" s="406"/>
      <c r="U183" s="409"/>
      <c r="V183" s="599"/>
      <c r="W183" s="599"/>
      <c r="X183" s="599"/>
      <c r="Y183" s="599"/>
      <c r="Z183" s="401"/>
      <c r="AA183" s="399"/>
      <c r="AB183" s="400" t="e">
        <f t="shared" si="40"/>
        <v>#DIV/0!</v>
      </c>
      <c r="AC183" s="397"/>
      <c r="AD183" s="398"/>
      <c r="AE183" s="399"/>
      <c r="AF183" s="400" t="e">
        <f t="shared" si="41"/>
        <v>#DIV/0!</v>
      </c>
      <c r="AG183" s="397"/>
    </row>
    <row r="184" spans="1:33" ht="19.899999999999999" hidden="1" customHeight="1">
      <c r="A184" s="506"/>
      <c r="B184" s="497"/>
      <c r="C184" s="497"/>
      <c r="D184" s="497"/>
      <c r="E184" s="498"/>
      <c r="F184" s="397"/>
      <c r="G184" s="403"/>
      <c r="H184" s="404"/>
      <c r="I184" s="403"/>
      <c r="J184" s="390"/>
      <c r="K184" s="390"/>
      <c r="L184" s="416"/>
      <c r="M184" s="725"/>
      <c r="N184" s="712"/>
      <c r="O184" s="406"/>
      <c r="P184" s="406"/>
      <c r="Q184" s="406"/>
      <c r="R184" s="406"/>
      <c r="S184" s="406"/>
      <c r="T184" s="406"/>
      <c r="U184" s="409"/>
      <c r="V184" s="599"/>
      <c r="W184" s="599"/>
      <c r="X184" s="599"/>
      <c r="Y184" s="599"/>
      <c r="Z184" s="401"/>
      <c r="AA184" s="399"/>
      <c r="AB184" s="400" t="e">
        <f t="shared" si="40"/>
        <v>#DIV/0!</v>
      </c>
      <c r="AC184" s="397"/>
      <c r="AD184" s="398"/>
      <c r="AE184" s="399"/>
      <c r="AF184" s="400" t="e">
        <f t="shared" si="41"/>
        <v>#DIV/0!</v>
      </c>
      <c r="AG184" s="397"/>
    </row>
    <row r="185" spans="1:33" ht="19.899999999999999" hidden="1" customHeight="1">
      <c r="A185" s="506"/>
      <c r="B185" s="497"/>
      <c r="C185" s="497"/>
      <c r="D185" s="497"/>
      <c r="E185" s="498"/>
      <c r="F185" s="397"/>
      <c r="G185" s="403"/>
      <c r="H185" s="404"/>
      <c r="I185" s="403"/>
      <c r="J185" s="390"/>
      <c r="K185" s="390"/>
      <c r="L185" s="416"/>
      <c r="M185" s="725"/>
      <c r="N185" s="712"/>
      <c r="O185" s="406"/>
      <c r="P185" s="406"/>
      <c r="Q185" s="406"/>
      <c r="R185" s="406"/>
      <c r="S185" s="406"/>
      <c r="T185" s="406"/>
      <c r="U185" s="409"/>
      <c r="V185" s="599"/>
      <c r="W185" s="599"/>
      <c r="X185" s="599"/>
      <c r="Y185" s="599"/>
      <c r="Z185" s="401"/>
      <c r="AA185" s="399"/>
      <c r="AB185" s="400" t="e">
        <f t="shared" si="40"/>
        <v>#DIV/0!</v>
      </c>
      <c r="AC185" s="397"/>
      <c r="AD185" s="398"/>
      <c r="AE185" s="399"/>
      <c r="AF185" s="400" t="e">
        <f t="shared" si="41"/>
        <v>#DIV/0!</v>
      </c>
      <c r="AG185" s="397"/>
    </row>
    <row r="186" spans="1:33" ht="19.899999999999999" hidden="1" customHeight="1">
      <c r="A186" s="506"/>
      <c r="B186" s="497"/>
      <c r="C186" s="497"/>
      <c r="D186" s="497"/>
      <c r="E186" s="498"/>
      <c r="F186" s="397"/>
      <c r="G186" s="403"/>
      <c r="H186" s="404"/>
      <c r="I186" s="403"/>
      <c r="J186" s="390"/>
      <c r="K186" s="390"/>
      <c r="L186" s="416"/>
      <c r="M186" s="725"/>
      <c r="N186" s="712"/>
      <c r="O186" s="406"/>
      <c r="P186" s="406"/>
      <c r="Q186" s="406"/>
      <c r="R186" s="406"/>
      <c r="S186" s="406"/>
      <c r="T186" s="406"/>
      <c r="U186" s="409"/>
      <c r="V186" s="599"/>
      <c r="W186" s="599"/>
      <c r="X186" s="599"/>
      <c r="Y186" s="599"/>
      <c r="Z186" s="401"/>
      <c r="AA186" s="399"/>
      <c r="AB186" s="400" t="e">
        <f t="shared" si="40"/>
        <v>#DIV/0!</v>
      </c>
      <c r="AC186" s="397"/>
      <c r="AD186" s="398"/>
      <c r="AE186" s="399"/>
      <c r="AF186" s="400" t="e">
        <f t="shared" si="41"/>
        <v>#DIV/0!</v>
      </c>
      <c r="AG186" s="397"/>
    </row>
    <row r="187" spans="1:33" ht="19.899999999999999" hidden="1" customHeight="1">
      <c r="A187" s="506"/>
      <c r="B187" s="497"/>
      <c r="C187" s="497"/>
      <c r="D187" s="497"/>
      <c r="E187" s="498"/>
      <c r="F187" s="397"/>
      <c r="G187" s="403"/>
      <c r="H187" s="404"/>
      <c r="I187" s="403"/>
      <c r="J187" s="390"/>
      <c r="K187" s="390"/>
      <c r="L187" s="416"/>
      <c r="M187" s="725"/>
      <c r="N187" s="712"/>
      <c r="O187" s="406"/>
      <c r="P187" s="406"/>
      <c r="Q187" s="406"/>
      <c r="R187" s="406"/>
      <c r="S187" s="406"/>
      <c r="T187" s="406"/>
      <c r="U187" s="409"/>
      <c r="V187" s="599"/>
      <c r="W187" s="599"/>
      <c r="X187" s="599"/>
      <c r="Y187" s="599"/>
      <c r="Z187" s="401"/>
      <c r="AA187" s="399"/>
      <c r="AB187" s="400" t="e">
        <f t="shared" si="40"/>
        <v>#DIV/0!</v>
      </c>
      <c r="AC187" s="397"/>
      <c r="AD187" s="398"/>
      <c r="AE187" s="399"/>
      <c r="AF187" s="400" t="e">
        <f t="shared" si="41"/>
        <v>#DIV/0!</v>
      </c>
      <c r="AG187" s="397"/>
    </row>
    <row r="188" spans="1:33" ht="19.899999999999999" hidden="1" customHeight="1">
      <c r="A188" s="506"/>
      <c r="B188" s="497"/>
      <c r="C188" s="497"/>
      <c r="D188" s="497"/>
      <c r="E188" s="498"/>
      <c r="F188" s="397"/>
      <c r="G188" s="403"/>
      <c r="H188" s="404"/>
      <c r="I188" s="403"/>
      <c r="J188" s="390"/>
      <c r="K188" s="390"/>
      <c r="L188" s="416"/>
      <c r="M188" s="725"/>
      <c r="N188" s="712"/>
      <c r="O188" s="406"/>
      <c r="P188" s="406"/>
      <c r="Q188" s="406"/>
      <c r="R188" s="406"/>
      <c r="S188" s="406"/>
      <c r="T188" s="406"/>
      <c r="U188" s="409"/>
      <c r="V188" s="599"/>
      <c r="W188" s="599"/>
      <c r="X188" s="599"/>
      <c r="Y188" s="599"/>
      <c r="Z188" s="401"/>
      <c r="AA188" s="399"/>
      <c r="AB188" s="400" t="e">
        <f t="shared" si="40"/>
        <v>#DIV/0!</v>
      </c>
      <c r="AC188" s="397"/>
      <c r="AD188" s="398"/>
      <c r="AE188" s="399"/>
      <c r="AF188" s="400" t="e">
        <f t="shared" si="41"/>
        <v>#DIV/0!</v>
      </c>
      <c r="AG188" s="397"/>
    </row>
    <row r="189" spans="1:33" ht="19.899999999999999" hidden="1" customHeight="1">
      <c r="A189" s="506"/>
      <c r="B189" s="497"/>
      <c r="C189" s="497"/>
      <c r="D189" s="497"/>
      <c r="E189" s="498"/>
      <c r="F189" s="397"/>
      <c r="G189" s="403"/>
      <c r="H189" s="404"/>
      <c r="I189" s="403"/>
      <c r="J189" s="390"/>
      <c r="K189" s="390"/>
      <c r="L189" s="416"/>
      <c r="M189" s="725"/>
      <c r="N189" s="712"/>
      <c r="O189" s="406"/>
      <c r="P189" s="406"/>
      <c r="Q189" s="406"/>
      <c r="R189" s="406"/>
      <c r="S189" s="406"/>
      <c r="T189" s="406"/>
      <c r="U189" s="409"/>
      <c r="V189" s="599"/>
      <c r="W189" s="599"/>
      <c r="X189" s="599"/>
      <c r="Y189" s="599"/>
      <c r="Z189" s="401"/>
      <c r="AA189" s="399"/>
      <c r="AB189" s="400" t="e">
        <f t="shared" si="40"/>
        <v>#DIV/0!</v>
      </c>
      <c r="AC189" s="397"/>
      <c r="AD189" s="398"/>
      <c r="AE189" s="399"/>
      <c r="AF189" s="400" t="e">
        <f t="shared" si="41"/>
        <v>#DIV/0!</v>
      </c>
      <c r="AG189" s="397"/>
    </row>
    <row r="190" spans="1:33" ht="19.899999999999999" hidden="1" customHeight="1">
      <c r="A190" s="506"/>
      <c r="B190" s="497"/>
      <c r="C190" s="497"/>
      <c r="D190" s="497"/>
      <c r="E190" s="498"/>
      <c r="F190" s="397"/>
      <c r="G190" s="403"/>
      <c r="H190" s="404"/>
      <c r="I190" s="403"/>
      <c r="J190" s="390"/>
      <c r="K190" s="390"/>
      <c r="L190" s="416"/>
      <c r="M190" s="725"/>
      <c r="N190" s="712"/>
      <c r="O190" s="406"/>
      <c r="P190" s="406"/>
      <c r="Q190" s="406"/>
      <c r="R190" s="406"/>
      <c r="S190" s="406"/>
      <c r="T190" s="406"/>
      <c r="U190" s="409"/>
      <c r="V190" s="599"/>
      <c r="W190" s="599"/>
      <c r="X190" s="599"/>
      <c r="Y190" s="599"/>
      <c r="Z190" s="401"/>
      <c r="AA190" s="399"/>
      <c r="AB190" s="400" t="e">
        <f t="shared" si="40"/>
        <v>#DIV/0!</v>
      </c>
      <c r="AC190" s="397"/>
      <c r="AD190" s="398"/>
      <c r="AE190" s="399"/>
      <c r="AF190" s="400" t="e">
        <f t="shared" si="41"/>
        <v>#DIV/0!</v>
      </c>
      <c r="AG190" s="397"/>
    </row>
    <row r="191" spans="1:33" ht="19.899999999999999" hidden="1" customHeight="1">
      <c r="A191" s="506"/>
      <c r="B191" s="497"/>
      <c r="C191" s="497"/>
      <c r="D191" s="497"/>
      <c r="E191" s="498"/>
      <c r="F191" s="397"/>
      <c r="G191" s="403"/>
      <c r="H191" s="404"/>
      <c r="I191" s="403"/>
      <c r="J191" s="390"/>
      <c r="K191" s="390"/>
      <c r="L191" s="416"/>
      <c r="M191" s="725"/>
      <c r="N191" s="712"/>
      <c r="O191" s="406"/>
      <c r="P191" s="406"/>
      <c r="Q191" s="406"/>
      <c r="R191" s="406"/>
      <c r="S191" s="406"/>
      <c r="T191" s="406"/>
      <c r="U191" s="409"/>
      <c r="V191" s="599"/>
      <c r="W191" s="599"/>
      <c r="X191" s="599"/>
      <c r="Y191" s="599"/>
      <c r="Z191" s="401"/>
      <c r="AA191" s="399"/>
      <c r="AB191" s="400" t="e">
        <f t="shared" si="40"/>
        <v>#DIV/0!</v>
      </c>
      <c r="AC191" s="397"/>
      <c r="AD191" s="398"/>
      <c r="AE191" s="399"/>
      <c r="AF191" s="400" t="e">
        <f t="shared" si="41"/>
        <v>#DIV/0!</v>
      </c>
      <c r="AG191" s="397"/>
    </row>
    <row r="192" spans="1:33" ht="19.899999999999999" hidden="1" customHeight="1">
      <c r="A192" s="506"/>
      <c r="B192" s="497"/>
      <c r="C192" s="497"/>
      <c r="D192" s="497"/>
      <c r="E192" s="498"/>
      <c r="F192" s="397"/>
      <c r="G192" s="403"/>
      <c r="H192" s="404"/>
      <c r="I192" s="403"/>
      <c r="J192" s="390"/>
      <c r="K192" s="390"/>
      <c r="L192" s="416"/>
      <c r="M192" s="725"/>
      <c r="N192" s="712"/>
      <c r="O192" s="406"/>
      <c r="P192" s="406"/>
      <c r="Q192" s="406"/>
      <c r="R192" s="406"/>
      <c r="S192" s="406"/>
      <c r="T192" s="406"/>
      <c r="U192" s="409"/>
      <c r="V192" s="599"/>
      <c r="W192" s="599"/>
      <c r="X192" s="599"/>
      <c r="Y192" s="599"/>
      <c r="Z192" s="401"/>
      <c r="AA192" s="399"/>
      <c r="AB192" s="400" t="e">
        <f t="shared" si="40"/>
        <v>#DIV/0!</v>
      </c>
      <c r="AC192" s="397"/>
      <c r="AD192" s="398"/>
      <c r="AE192" s="399"/>
      <c r="AF192" s="400" t="e">
        <f t="shared" si="41"/>
        <v>#DIV/0!</v>
      </c>
      <c r="AG192" s="397"/>
    </row>
    <row r="193" spans="1:33" ht="19.899999999999999" hidden="1" customHeight="1">
      <c r="A193" s="506"/>
      <c r="B193" s="497"/>
      <c r="C193" s="497"/>
      <c r="D193" s="497"/>
      <c r="E193" s="498"/>
      <c r="F193" s="397"/>
      <c r="G193" s="403"/>
      <c r="H193" s="404"/>
      <c r="I193" s="403"/>
      <c r="J193" s="390"/>
      <c r="K193" s="390"/>
      <c r="L193" s="416"/>
      <c r="M193" s="725"/>
      <c r="N193" s="712"/>
      <c r="O193" s="406"/>
      <c r="P193" s="406"/>
      <c r="Q193" s="406"/>
      <c r="R193" s="406"/>
      <c r="S193" s="406"/>
      <c r="T193" s="406"/>
      <c r="U193" s="409"/>
      <c r="V193" s="599"/>
      <c r="W193" s="599"/>
      <c r="X193" s="599"/>
      <c r="Y193" s="599"/>
      <c r="Z193" s="401"/>
      <c r="AA193" s="399"/>
      <c r="AB193" s="400" t="e">
        <f t="shared" si="40"/>
        <v>#DIV/0!</v>
      </c>
      <c r="AC193" s="397"/>
      <c r="AD193" s="398"/>
      <c r="AE193" s="399"/>
      <c r="AF193" s="400" t="e">
        <f t="shared" si="41"/>
        <v>#DIV/0!</v>
      </c>
      <c r="AG193" s="397"/>
    </row>
    <row r="194" spans="1:33" ht="19.899999999999999" hidden="1" customHeight="1">
      <c r="A194" s="506"/>
      <c r="B194" s="497"/>
      <c r="C194" s="497"/>
      <c r="D194" s="497"/>
      <c r="E194" s="498"/>
      <c r="F194" s="397"/>
      <c r="G194" s="403"/>
      <c r="H194" s="404"/>
      <c r="I194" s="403"/>
      <c r="J194" s="390"/>
      <c r="K194" s="390"/>
      <c r="L194" s="416"/>
      <c r="M194" s="725"/>
      <c r="N194" s="712"/>
      <c r="O194" s="406"/>
      <c r="P194" s="406"/>
      <c r="Q194" s="406"/>
      <c r="R194" s="406"/>
      <c r="S194" s="406"/>
      <c r="T194" s="406"/>
      <c r="U194" s="409"/>
      <c r="V194" s="599"/>
      <c r="W194" s="599"/>
      <c r="X194" s="599"/>
      <c r="Y194" s="599"/>
      <c r="Z194" s="401"/>
      <c r="AA194" s="399"/>
      <c r="AB194" s="400" t="e">
        <f t="shared" si="40"/>
        <v>#DIV/0!</v>
      </c>
      <c r="AC194" s="397"/>
      <c r="AD194" s="398"/>
      <c r="AE194" s="399"/>
      <c r="AF194" s="400" t="e">
        <f t="shared" si="41"/>
        <v>#DIV/0!</v>
      </c>
      <c r="AG194" s="397"/>
    </row>
    <row r="195" spans="1:33" ht="19.899999999999999" hidden="1" customHeight="1">
      <c r="A195" s="506"/>
      <c r="B195" s="497"/>
      <c r="C195" s="497"/>
      <c r="D195" s="497"/>
      <c r="E195" s="498"/>
      <c r="F195" s="397"/>
      <c r="G195" s="403"/>
      <c r="H195" s="404"/>
      <c r="I195" s="403"/>
      <c r="J195" s="390"/>
      <c r="K195" s="390"/>
      <c r="L195" s="416"/>
      <c r="M195" s="725"/>
      <c r="N195" s="712"/>
      <c r="O195" s="406"/>
      <c r="P195" s="406"/>
      <c r="Q195" s="406"/>
      <c r="R195" s="406"/>
      <c r="S195" s="406"/>
      <c r="T195" s="406"/>
      <c r="U195" s="409"/>
      <c r="V195" s="599"/>
      <c r="W195" s="599"/>
      <c r="X195" s="599"/>
      <c r="Y195" s="599"/>
      <c r="Z195" s="401"/>
      <c r="AA195" s="399"/>
      <c r="AB195" s="400" t="e">
        <f t="shared" si="40"/>
        <v>#DIV/0!</v>
      </c>
      <c r="AC195" s="397"/>
      <c r="AD195" s="398"/>
      <c r="AE195" s="399"/>
      <c r="AF195" s="400" t="e">
        <f t="shared" si="41"/>
        <v>#DIV/0!</v>
      </c>
      <c r="AG195" s="397"/>
    </row>
    <row r="196" spans="1:33" ht="19.899999999999999" hidden="1" customHeight="1">
      <c r="A196" s="506"/>
      <c r="B196" s="497"/>
      <c r="C196" s="497"/>
      <c r="D196" s="497"/>
      <c r="E196" s="498"/>
      <c r="F196" s="397"/>
      <c r="G196" s="403"/>
      <c r="H196" s="404"/>
      <c r="I196" s="403"/>
      <c r="J196" s="390"/>
      <c r="K196" s="390"/>
      <c r="L196" s="416"/>
      <c r="M196" s="725"/>
      <c r="N196" s="712"/>
      <c r="O196" s="406"/>
      <c r="P196" s="406"/>
      <c r="Q196" s="406"/>
      <c r="R196" s="406"/>
      <c r="S196" s="406"/>
      <c r="T196" s="406"/>
      <c r="U196" s="409"/>
      <c r="V196" s="599"/>
      <c r="W196" s="599"/>
      <c r="X196" s="599"/>
      <c r="Y196" s="599"/>
      <c r="Z196" s="401"/>
      <c r="AA196" s="399"/>
      <c r="AB196" s="400" t="e">
        <f t="shared" si="40"/>
        <v>#DIV/0!</v>
      </c>
      <c r="AC196" s="397"/>
      <c r="AD196" s="398"/>
      <c r="AE196" s="399"/>
      <c r="AF196" s="400" t="e">
        <f t="shared" si="41"/>
        <v>#DIV/0!</v>
      </c>
      <c r="AG196" s="397"/>
    </row>
    <row r="197" spans="1:33" ht="19.899999999999999" hidden="1" customHeight="1">
      <c r="A197" s="506"/>
      <c r="B197" s="497"/>
      <c r="C197" s="497"/>
      <c r="D197" s="497"/>
      <c r="E197" s="498"/>
      <c r="F197" s="397"/>
      <c r="G197" s="403"/>
      <c r="H197" s="404"/>
      <c r="I197" s="403"/>
      <c r="J197" s="390"/>
      <c r="K197" s="390"/>
      <c r="L197" s="416"/>
      <c r="M197" s="725"/>
      <c r="N197" s="712"/>
      <c r="O197" s="406"/>
      <c r="P197" s="406"/>
      <c r="Q197" s="406"/>
      <c r="R197" s="406"/>
      <c r="S197" s="406"/>
      <c r="T197" s="406"/>
      <c r="U197" s="409"/>
      <c r="V197" s="599"/>
      <c r="W197" s="599"/>
      <c r="X197" s="599"/>
      <c r="Y197" s="599"/>
      <c r="Z197" s="401"/>
      <c r="AA197" s="399"/>
      <c r="AB197" s="400" t="e">
        <f t="shared" si="40"/>
        <v>#DIV/0!</v>
      </c>
      <c r="AC197" s="397"/>
      <c r="AD197" s="398"/>
      <c r="AE197" s="399"/>
      <c r="AF197" s="400" t="e">
        <f t="shared" si="41"/>
        <v>#DIV/0!</v>
      </c>
      <c r="AG197" s="397"/>
    </row>
    <row r="198" spans="1:33" ht="19.899999999999999" hidden="1" customHeight="1">
      <c r="A198" s="506"/>
      <c r="B198" s="497"/>
      <c r="C198" s="497"/>
      <c r="D198" s="497"/>
      <c r="E198" s="498"/>
      <c r="F198" s="397"/>
      <c r="G198" s="403"/>
      <c r="H198" s="404"/>
      <c r="I198" s="403"/>
      <c r="J198" s="390"/>
      <c r="K198" s="390"/>
      <c r="L198" s="416"/>
      <c r="M198" s="725"/>
      <c r="N198" s="712"/>
      <c r="O198" s="406"/>
      <c r="P198" s="406"/>
      <c r="Q198" s="406"/>
      <c r="R198" s="406"/>
      <c r="S198" s="406"/>
      <c r="T198" s="406"/>
      <c r="U198" s="409"/>
      <c r="V198" s="599"/>
      <c r="W198" s="599"/>
      <c r="X198" s="599"/>
      <c r="Y198" s="599"/>
      <c r="Z198" s="401"/>
      <c r="AA198" s="399"/>
      <c r="AB198" s="400" t="e">
        <f t="shared" si="40"/>
        <v>#DIV/0!</v>
      </c>
      <c r="AC198" s="397"/>
      <c r="AD198" s="398"/>
      <c r="AE198" s="399"/>
      <c r="AF198" s="400" t="e">
        <f t="shared" si="41"/>
        <v>#DIV/0!</v>
      </c>
      <c r="AG198" s="397"/>
    </row>
    <row r="199" spans="1:33" ht="19.899999999999999" hidden="1" customHeight="1">
      <c r="A199" s="506"/>
      <c r="B199" s="497"/>
      <c r="C199" s="497"/>
      <c r="D199" s="497"/>
      <c r="E199" s="498"/>
      <c r="F199" s="397"/>
      <c r="G199" s="403"/>
      <c r="H199" s="404"/>
      <c r="I199" s="403"/>
      <c r="J199" s="390"/>
      <c r="K199" s="390"/>
      <c r="L199" s="416"/>
      <c r="M199" s="725"/>
      <c r="N199" s="712"/>
      <c r="O199" s="406"/>
      <c r="P199" s="406"/>
      <c r="Q199" s="406"/>
      <c r="R199" s="406"/>
      <c r="S199" s="406"/>
      <c r="T199" s="406"/>
      <c r="U199" s="409"/>
      <c r="V199" s="599"/>
      <c r="W199" s="599"/>
      <c r="X199" s="599"/>
      <c r="Y199" s="599"/>
      <c r="Z199" s="401"/>
      <c r="AA199" s="399"/>
      <c r="AB199" s="400" t="e">
        <f t="shared" si="40"/>
        <v>#DIV/0!</v>
      </c>
      <c r="AC199" s="397"/>
      <c r="AD199" s="398"/>
      <c r="AE199" s="399"/>
      <c r="AF199" s="400" t="e">
        <f t="shared" si="41"/>
        <v>#DIV/0!</v>
      </c>
      <c r="AG199" s="397"/>
    </row>
    <row r="200" spans="1:33" ht="19.899999999999999" hidden="1" customHeight="1">
      <c r="A200" s="506"/>
      <c r="B200" s="497"/>
      <c r="C200" s="497"/>
      <c r="D200" s="497"/>
      <c r="E200" s="498"/>
      <c r="F200" s="397"/>
      <c r="G200" s="403"/>
      <c r="H200" s="404"/>
      <c r="I200" s="403"/>
      <c r="J200" s="390"/>
      <c r="K200" s="390"/>
      <c r="L200" s="416"/>
      <c r="M200" s="725"/>
      <c r="N200" s="712"/>
      <c r="O200" s="406"/>
      <c r="P200" s="406"/>
      <c r="Q200" s="406"/>
      <c r="R200" s="406"/>
      <c r="S200" s="406"/>
      <c r="T200" s="406"/>
      <c r="U200" s="409"/>
      <c r="V200" s="600"/>
      <c r="W200" s="600"/>
      <c r="X200" s="600"/>
      <c r="Y200" s="600"/>
      <c r="Z200" s="532"/>
      <c r="AA200" s="533"/>
      <c r="AB200" s="534" t="e">
        <f t="shared" si="40"/>
        <v>#DIV/0!</v>
      </c>
      <c r="AC200" s="535"/>
      <c r="AD200" s="536"/>
      <c r="AE200" s="533"/>
      <c r="AF200" s="534" t="e">
        <f t="shared" si="41"/>
        <v>#DIV/0!</v>
      </c>
      <c r="AG200" s="535"/>
    </row>
    <row r="201" spans="1:33" ht="19.899999999999999" hidden="1" customHeight="1">
      <c r="B201" s="417"/>
      <c r="C201" s="417"/>
      <c r="D201" s="417"/>
      <c r="E201" s="418"/>
      <c r="F201" s="419"/>
      <c r="G201" s="419"/>
      <c r="H201" s="420"/>
      <c r="I201" s="419"/>
      <c r="J201" s="421"/>
      <c r="K201" s="421"/>
      <c r="L201" s="421"/>
      <c r="M201" s="728"/>
      <c r="N201" s="718"/>
      <c r="O201" s="422"/>
      <c r="P201" s="422"/>
      <c r="Q201" s="422"/>
      <c r="R201" s="422"/>
      <c r="S201" s="422"/>
      <c r="T201" s="422"/>
      <c r="U201" s="422"/>
      <c r="V201" s="422"/>
      <c r="W201" s="422"/>
      <c r="X201" s="422"/>
      <c r="Y201" s="422"/>
      <c r="Z201" s="422"/>
      <c r="AA201" s="424"/>
      <c r="AB201" s="425"/>
      <c r="AC201" s="419"/>
      <c r="AD201" s="423"/>
      <c r="AE201" s="424"/>
      <c r="AF201" s="425"/>
      <c r="AG201" s="419"/>
    </row>
    <row r="202" spans="1:33" ht="19.899999999999999" hidden="1" customHeight="1">
      <c r="B202" s="417"/>
      <c r="C202" s="417"/>
      <c r="D202" s="417"/>
      <c r="E202" s="418"/>
      <c r="F202" s="419"/>
      <c r="G202" s="419"/>
      <c r="H202" s="420"/>
      <c r="I202" s="419"/>
      <c r="J202" s="421"/>
      <c r="K202" s="421"/>
      <c r="L202" s="421"/>
      <c r="M202" s="728"/>
      <c r="N202" s="718"/>
      <c r="O202" s="422"/>
      <c r="P202" s="422"/>
      <c r="Q202" s="422"/>
      <c r="R202" s="422"/>
      <c r="S202" s="422"/>
      <c r="T202" s="422"/>
      <c r="U202" s="422"/>
      <c r="V202" s="422"/>
      <c r="W202" s="422"/>
      <c r="X202" s="422"/>
      <c r="Y202" s="422"/>
      <c r="Z202" s="422"/>
      <c r="AA202" s="424"/>
      <c r="AB202" s="425"/>
      <c r="AC202" s="419"/>
      <c r="AD202" s="423"/>
      <c r="AE202" s="424"/>
      <c r="AF202" s="425"/>
      <c r="AG202" s="419"/>
    </row>
    <row r="203" spans="1:33" ht="19.899999999999999" hidden="1" customHeight="1">
      <c r="B203" s="417"/>
      <c r="C203" s="417"/>
      <c r="D203" s="417"/>
      <c r="E203" s="418"/>
      <c r="F203" s="419"/>
      <c r="G203" s="419"/>
      <c r="H203" s="420"/>
      <c r="I203" s="419"/>
      <c r="J203" s="421"/>
      <c r="K203" s="421"/>
      <c r="L203" s="421"/>
      <c r="M203" s="728"/>
      <c r="N203" s="718"/>
      <c r="O203" s="422"/>
      <c r="P203" s="422"/>
      <c r="Q203" s="422"/>
      <c r="R203" s="422"/>
      <c r="S203" s="422"/>
      <c r="T203" s="422"/>
      <c r="U203" s="422"/>
      <c r="V203" s="422"/>
      <c r="W203" s="422"/>
      <c r="X203" s="422"/>
      <c r="Y203" s="422"/>
      <c r="Z203" s="422"/>
      <c r="AA203" s="424"/>
      <c r="AB203" s="425"/>
      <c r="AC203" s="419"/>
      <c r="AD203" s="423"/>
      <c r="AE203" s="424"/>
      <c r="AF203" s="425"/>
      <c r="AG203" s="419"/>
    </row>
    <row r="204" spans="1:33" ht="19.899999999999999" hidden="1" customHeight="1">
      <c r="B204" s="417"/>
      <c r="C204" s="417"/>
      <c r="D204" s="417"/>
      <c r="E204" s="418"/>
      <c r="F204" s="419"/>
      <c r="G204" s="419"/>
      <c r="H204" s="420"/>
      <c r="I204" s="419"/>
      <c r="J204" s="421"/>
      <c r="K204" s="421"/>
      <c r="L204" s="421"/>
      <c r="M204" s="728"/>
      <c r="N204" s="718"/>
      <c r="O204" s="422"/>
      <c r="P204" s="422"/>
      <c r="Q204" s="422"/>
      <c r="R204" s="422"/>
      <c r="S204" s="422"/>
      <c r="T204" s="422"/>
      <c r="U204" s="422"/>
      <c r="V204" s="422"/>
      <c r="W204" s="422"/>
      <c r="X204" s="422"/>
      <c r="Y204" s="422"/>
      <c r="Z204" s="422"/>
      <c r="AA204" s="424"/>
      <c r="AB204" s="425"/>
      <c r="AC204" s="419"/>
      <c r="AD204" s="423"/>
      <c r="AE204" s="424"/>
      <c r="AF204" s="425"/>
      <c r="AG204" s="419"/>
    </row>
    <row r="205" spans="1:33" hidden="1"/>
    <row r="206" spans="1:33" hidden="1"/>
    <row r="207" spans="1:33" hidden="1"/>
    <row r="208" spans="1:33" hidden="1"/>
    <row r="209" spans="10:12" hidden="1"/>
    <row r="210" spans="10:12" hidden="1"/>
    <row r="211" spans="10:12" hidden="1"/>
    <row r="212" spans="10:12" ht="15" hidden="1">
      <c r="J212" s="382" t="s">
        <v>364</v>
      </c>
      <c r="L212" s="385" t="s">
        <v>350</v>
      </c>
    </row>
    <row r="213" spans="10:12" ht="15" hidden="1">
      <c r="L213" s="386"/>
    </row>
    <row r="214" spans="10:12" ht="15" hidden="1">
      <c r="J214" s="382" t="s">
        <v>365</v>
      </c>
      <c r="L214" s="530" t="s">
        <v>134</v>
      </c>
    </row>
    <row r="215" spans="10:12" ht="15" hidden="1">
      <c r="J215" s="382" t="s">
        <v>366</v>
      </c>
      <c r="L215" s="530" t="s">
        <v>378</v>
      </c>
    </row>
    <row r="216" spans="10:12" ht="15" hidden="1">
      <c r="J216" s="382" t="s">
        <v>367</v>
      </c>
      <c r="L216" s="530" t="s">
        <v>205</v>
      </c>
    </row>
    <row r="217" spans="10:12" ht="15" hidden="1">
      <c r="J217" s="382" t="s">
        <v>368</v>
      </c>
      <c r="L217" s="530" t="s">
        <v>362</v>
      </c>
    </row>
    <row r="218" spans="10:12" ht="15" hidden="1">
      <c r="J218" s="382" t="s">
        <v>369</v>
      </c>
      <c r="L218" s="530" t="s">
        <v>379</v>
      </c>
    </row>
    <row r="219" spans="10:12" ht="15" hidden="1">
      <c r="J219" s="382" t="s">
        <v>229</v>
      </c>
      <c r="L219" s="530" t="s">
        <v>380</v>
      </c>
    </row>
    <row r="220" spans="10:12" ht="15" hidden="1">
      <c r="J220" s="382" t="s">
        <v>230</v>
      </c>
      <c r="L220" s="530" t="s">
        <v>351</v>
      </c>
    </row>
    <row r="221" spans="10:12" ht="15" hidden="1">
      <c r="J221" s="382" t="s">
        <v>231</v>
      </c>
      <c r="L221" s="530" t="s">
        <v>352</v>
      </c>
    </row>
    <row r="222" spans="10:12" ht="15" hidden="1">
      <c r="J222" s="382" t="s">
        <v>370</v>
      </c>
      <c r="L222" s="530" t="s">
        <v>432</v>
      </c>
    </row>
    <row r="223" spans="10:12" ht="15" hidden="1">
      <c r="J223" s="382" t="s">
        <v>363</v>
      </c>
      <c r="L223" s="530" t="s">
        <v>435</v>
      </c>
    </row>
    <row r="224" spans="10:12" ht="15" hidden="1">
      <c r="L224" s="530" t="s">
        <v>436</v>
      </c>
    </row>
    <row r="225" spans="11:12" ht="15" hidden="1">
      <c r="L225" s="530" t="s">
        <v>437</v>
      </c>
    </row>
    <row r="226" spans="11:12" ht="15" hidden="1">
      <c r="L226" s="530" t="s">
        <v>440</v>
      </c>
    </row>
    <row r="227" spans="11:12" ht="15" hidden="1">
      <c r="L227" s="530" t="s">
        <v>354</v>
      </c>
    </row>
    <row r="228" spans="11:12" ht="15" hidden="1">
      <c r="L228" s="530" t="s">
        <v>441</v>
      </c>
    </row>
    <row r="229" spans="11:12" ht="15" hidden="1">
      <c r="L229" s="530" t="s">
        <v>173</v>
      </c>
    </row>
    <row r="230" spans="11:12" ht="15" hidden="1">
      <c r="L230" s="530" t="s">
        <v>100</v>
      </c>
    </row>
    <row r="231" spans="11:12" ht="15" hidden="1">
      <c r="L231" s="530" t="s">
        <v>462</v>
      </c>
    </row>
    <row r="232" spans="11:12" ht="15" hidden="1">
      <c r="K232" s="387"/>
      <c r="L232" s="530" t="s">
        <v>188</v>
      </c>
    </row>
    <row r="233" spans="11:12" ht="15" hidden="1">
      <c r="L233" s="530" t="s">
        <v>463</v>
      </c>
    </row>
    <row r="234" spans="11:12" ht="15" hidden="1">
      <c r="L234" s="530" t="s">
        <v>464</v>
      </c>
    </row>
    <row r="235" spans="11:12" ht="15" hidden="1">
      <c r="L235" s="530" t="s">
        <v>469</v>
      </c>
    </row>
    <row r="236" spans="11:12" ht="15" hidden="1">
      <c r="L236" s="530" t="s">
        <v>472</v>
      </c>
    </row>
    <row r="237" spans="11:12" ht="15" hidden="1">
      <c r="L237" s="530" t="s">
        <v>473</v>
      </c>
    </row>
    <row r="238" spans="11:12" ht="15" hidden="1">
      <c r="L238" s="530" t="s">
        <v>190</v>
      </c>
    </row>
    <row r="239" spans="11:12" ht="15" hidden="1">
      <c r="L239" s="530" t="s">
        <v>74</v>
      </c>
    </row>
    <row r="240" spans="11:12" ht="15" hidden="1">
      <c r="L240" s="530" t="s">
        <v>436</v>
      </c>
    </row>
    <row r="241" spans="11:14" ht="15" hidden="1">
      <c r="K241" s="387"/>
      <c r="L241" s="530" t="s">
        <v>700</v>
      </c>
    </row>
    <row r="242" spans="11:14" ht="15" hidden="1">
      <c r="L242" s="530" t="s">
        <v>202</v>
      </c>
    </row>
    <row r="243" spans="11:14" ht="15" hidden="1">
      <c r="L243" s="530" t="s">
        <v>509</v>
      </c>
    </row>
    <row r="244" spans="11:14" ht="15" hidden="1">
      <c r="L244" s="530" t="s">
        <v>591</v>
      </c>
    </row>
    <row r="245" spans="11:14" ht="15" hidden="1">
      <c r="L245" s="530" t="s">
        <v>594</v>
      </c>
    </row>
    <row r="246" spans="11:14" ht="15" hidden="1">
      <c r="L246" s="530" t="s">
        <v>596</v>
      </c>
    </row>
    <row r="247" spans="11:14" ht="15" hidden="1">
      <c r="L247" s="530" t="s">
        <v>602</v>
      </c>
    </row>
    <row r="248" spans="11:14" ht="15" hidden="1">
      <c r="L248" s="530" t="s">
        <v>606</v>
      </c>
      <c r="N248" s="719"/>
    </row>
    <row r="249" spans="11:14" ht="15" hidden="1">
      <c r="L249" s="530" t="s">
        <v>353</v>
      </c>
    </row>
    <row r="250" spans="11:14" ht="15" hidden="1">
      <c r="L250" s="530" t="s">
        <v>355</v>
      </c>
    </row>
    <row r="251" spans="11:14" ht="15" hidden="1">
      <c r="L251" s="530" t="s">
        <v>356</v>
      </c>
    </row>
    <row r="252" spans="11:14" ht="15" hidden="1">
      <c r="L252" s="530" t="s">
        <v>357</v>
      </c>
    </row>
    <row r="253" spans="11:14" ht="15" hidden="1">
      <c r="L253" s="530" t="s">
        <v>192</v>
      </c>
    </row>
    <row r="254" spans="11:14" ht="15" hidden="1">
      <c r="L254" s="530" t="s">
        <v>358</v>
      </c>
    </row>
    <row r="255" spans="11:14" ht="15" hidden="1">
      <c r="L255" s="530" t="s">
        <v>359</v>
      </c>
    </row>
    <row r="256" spans="11:14" ht="15" hidden="1">
      <c r="L256" s="530" t="s">
        <v>348</v>
      </c>
    </row>
    <row r="257" spans="12:12" ht="15" hidden="1">
      <c r="L257" s="530" t="s">
        <v>360</v>
      </c>
    </row>
    <row r="258" spans="12:12" ht="15" hidden="1">
      <c r="L258" s="530" t="s">
        <v>361</v>
      </c>
    </row>
    <row r="259" spans="12:12" ht="15" hidden="1">
      <c r="L259" s="530" t="s">
        <v>357</v>
      </c>
    </row>
    <row r="260" spans="12:12" ht="15" hidden="1">
      <c r="L260" s="530" t="s">
        <v>363</v>
      </c>
    </row>
    <row r="261" spans="12:12" hidden="1"/>
    <row r="262" spans="12:12" hidden="1"/>
  </sheetData>
  <mergeCells count="30">
    <mergeCell ref="A7:A9"/>
    <mergeCell ref="B7:B9"/>
    <mergeCell ref="C7:C9"/>
    <mergeCell ref="D7:D9"/>
    <mergeCell ref="E7:E9"/>
    <mergeCell ref="L7:L9"/>
    <mergeCell ref="M7:M9"/>
    <mergeCell ref="N7:U8"/>
    <mergeCell ref="V7:V9"/>
    <mergeCell ref="B5:V5"/>
    <mergeCell ref="F7:F9"/>
    <mergeCell ref="H7:H9"/>
    <mergeCell ref="I7:I9"/>
    <mergeCell ref="J7:J9"/>
    <mergeCell ref="K7:K9"/>
    <mergeCell ref="AI7:AK8"/>
    <mergeCell ref="W8:W9"/>
    <mergeCell ref="X8:X9"/>
    <mergeCell ref="Y8:Y9"/>
    <mergeCell ref="Z8:Z9"/>
    <mergeCell ref="AA8:AA9"/>
    <mergeCell ref="AB8:AB9"/>
    <mergeCell ref="AC8:AC9"/>
    <mergeCell ref="W7:Y7"/>
    <mergeCell ref="AD8:AD9"/>
    <mergeCell ref="AE8:AE9"/>
    <mergeCell ref="AF8:AF9"/>
    <mergeCell ref="AG8:AG9"/>
    <mergeCell ref="Z7:AC7"/>
    <mergeCell ref="AD7:AG7"/>
  </mergeCells>
  <dataValidations disablePrompts="1" count="3">
    <dataValidation type="list" allowBlank="1" showInputMessage="1" showErrorMessage="1" sqref="J10:J204" xr:uid="{00000000-0002-0000-0E00-000000000000}">
      <formula1>$J$214:$J$218</formula1>
    </dataValidation>
    <dataValidation type="list" allowBlank="1" showInputMessage="1" showErrorMessage="1" sqref="K10:K204" xr:uid="{00000000-0002-0000-0E00-000001000000}">
      <formula1>$J$219:$J$223</formula1>
    </dataValidation>
    <dataValidation type="list" allowBlank="1" showInputMessage="1" showErrorMessage="1" sqref="L10:L75 L77:L204" xr:uid="{00000000-0002-0000-0E00-000002000000}">
      <formula1>$L$214:$L$259</formula1>
    </dataValidation>
  </dataValidations>
  <pageMargins left="0" right="0" top="0" bottom="0" header="0.3" footer="0.3"/>
  <pageSetup paperSize="9" scale="6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3:AI11"/>
  <sheetViews>
    <sheetView view="pageBreakPreview" zoomScale="79" zoomScaleNormal="100" zoomScaleSheetLayoutView="79" workbookViewId="0">
      <selection activeCell="F20" sqref="F20"/>
    </sheetView>
  </sheetViews>
  <sheetFormatPr defaultRowHeight="15"/>
  <cols>
    <col min="1" max="1" width="1.7109375" customWidth="1"/>
    <col min="2" max="2" width="37.7109375" customWidth="1"/>
    <col min="3" max="3" width="3.85546875" style="4" customWidth="1"/>
    <col min="4" max="4" width="47.85546875" style="4" customWidth="1"/>
    <col min="5" max="5" width="32.42578125" style="4" customWidth="1"/>
    <col min="6" max="6" width="20.7109375" style="4" customWidth="1"/>
    <col min="7" max="7" width="20.7109375" customWidth="1"/>
    <col min="8" max="8" width="12.42578125" customWidth="1"/>
    <col min="9" max="9" width="13.28515625" customWidth="1"/>
    <col min="17" max="17" width="21.7109375" customWidth="1"/>
    <col min="19" max="24" width="9" bestFit="1" customWidth="1"/>
    <col min="25" max="25" width="13.7109375" bestFit="1" customWidth="1"/>
    <col min="26" max="26" width="11.5703125" bestFit="1" customWidth="1"/>
    <col min="27" max="29" width="11.5703125" style="4" customWidth="1"/>
    <col min="31" max="31" width="13.28515625" style="4" hidden="1" customWidth="1"/>
    <col min="32" max="32" width="14.28515625" hidden="1" customWidth="1"/>
    <col min="33" max="33" width="12.140625" customWidth="1"/>
    <col min="34" max="34" width="11.7109375" customWidth="1"/>
    <col min="35" max="35" width="11" customWidth="1"/>
  </cols>
  <sheetData>
    <row r="3" spans="19:35" s="748" customFormat="1" ht="61.9" customHeight="1">
      <c r="S3" s="748" t="s">
        <v>721</v>
      </c>
      <c r="T3" s="748" t="s">
        <v>722</v>
      </c>
      <c r="U3" s="749" t="s">
        <v>725</v>
      </c>
      <c r="V3" s="749" t="s">
        <v>726</v>
      </c>
      <c r="W3" s="749" t="s">
        <v>727</v>
      </c>
      <c r="X3" s="749" t="s">
        <v>728</v>
      </c>
      <c r="Y3" s="749" t="s">
        <v>723</v>
      </c>
      <c r="Z3" s="749" t="s">
        <v>724</v>
      </c>
      <c r="AA3" s="749" t="s">
        <v>732</v>
      </c>
      <c r="AB3" s="749" t="s">
        <v>734</v>
      </c>
      <c r="AC3" s="749" t="s">
        <v>731</v>
      </c>
      <c r="AD3" s="749" t="s">
        <v>730</v>
      </c>
      <c r="AG3" s="749" t="s">
        <v>735</v>
      </c>
      <c r="AH3" s="749" t="s">
        <v>736</v>
      </c>
      <c r="AI3" s="749" t="s">
        <v>737</v>
      </c>
    </row>
    <row r="4" spans="19:35" s="748" customFormat="1" ht="61.9" customHeight="1">
      <c r="T4" s="748" t="s">
        <v>733</v>
      </c>
      <c r="U4" s="749"/>
      <c r="V4" s="749"/>
      <c r="W4" s="749"/>
      <c r="X4" s="749"/>
      <c r="Y4" s="749"/>
      <c r="Z4" s="749"/>
      <c r="AA4" s="749">
        <v>0</v>
      </c>
      <c r="AB4" s="749">
        <v>0</v>
      </c>
      <c r="AC4" s="749">
        <v>0</v>
      </c>
      <c r="AD4" s="749">
        <v>0</v>
      </c>
      <c r="AG4" s="749"/>
      <c r="AH4" s="749"/>
      <c r="AI4" s="749"/>
    </row>
    <row r="5" spans="19:35" ht="17.25">
      <c r="S5" s="748">
        <v>1</v>
      </c>
      <c r="T5" s="750">
        <v>44197</v>
      </c>
      <c r="U5" s="752">
        <f>3585806.79/1000</f>
        <v>3585.8067900000001</v>
      </c>
      <c r="V5" s="753">
        <f>112590/1000</f>
        <v>112.59</v>
      </c>
      <c r="W5" s="754">
        <f>231375/1000</f>
        <v>231.375</v>
      </c>
      <c r="X5" s="752">
        <v>0</v>
      </c>
      <c r="Y5" s="751">
        <v>703.06798000000003</v>
      </c>
      <c r="Z5" s="751">
        <v>39297.717900000003</v>
      </c>
      <c r="AA5" s="763">
        <v>2.7</v>
      </c>
      <c r="AB5" s="104">
        <f>'3. DMF Progress'!AB38</f>
        <v>2.4889170619555556</v>
      </c>
      <c r="AC5" s="104">
        <f>'2. IAs Progress'!J59</f>
        <v>12.251757061955557</v>
      </c>
      <c r="AD5" s="104">
        <f>'1. MEF Progress'!G21</f>
        <v>11.393082961315557</v>
      </c>
      <c r="AG5" s="104">
        <f>'Output 1'!R58</f>
        <v>3.1211199999999999</v>
      </c>
      <c r="AH5" s="104">
        <f>'Output 2 '!S57</f>
        <v>2.7075</v>
      </c>
      <c r="AI5" s="104">
        <f>'Output 3'!R46</f>
        <v>0</v>
      </c>
    </row>
    <row r="6" spans="19:35" ht="17.25">
      <c r="S6" s="748">
        <v>2</v>
      </c>
      <c r="T6" s="750">
        <v>44228</v>
      </c>
      <c r="U6" s="752">
        <f>3605593.08/1000</f>
        <v>3605.5930800000001</v>
      </c>
      <c r="V6" s="753">
        <f>112590/1000</f>
        <v>112.59</v>
      </c>
      <c r="W6" s="754">
        <f>231375/1000</f>
        <v>231.375</v>
      </c>
      <c r="X6" s="755">
        <v>0</v>
      </c>
      <c r="Y6" s="751">
        <v>722854.27</v>
      </c>
      <c r="Z6" s="751">
        <f>3949558.08/1000</f>
        <v>3949.5580800000002</v>
      </c>
      <c r="AA6" s="763">
        <v>2.7</v>
      </c>
      <c r="AB6" s="104">
        <f>'3. DMF Progress'!AC38</f>
        <v>3.6456817688888892</v>
      </c>
      <c r="AC6" s="104">
        <f>'2. IAs Progress'!M59</f>
        <v>13.408521768888889</v>
      </c>
      <c r="AD6" s="104">
        <f>'1. MEF Progress'!H21</f>
        <v>12.509261939222222</v>
      </c>
      <c r="AG6" s="104">
        <f>'Output 1'!V58</f>
        <v>2.1442000000000001</v>
      </c>
      <c r="AH6" s="104">
        <f>'Output 2 '!W57</f>
        <v>5.1025</v>
      </c>
      <c r="AI6" s="104">
        <f>'Output 3'!V46</f>
        <v>0</v>
      </c>
    </row>
    <row r="7" spans="19:35" ht="17.25">
      <c r="S7" s="748">
        <v>3</v>
      </c>
      <c r="T7" s="750">
        <v>44256</v>
      </c>
      <c r="U7" s="752">
        <f>3627018.09/1000</f>
        <v>3627.01809</v>
      </c>
      <c r="V7" s="756">
        <f>112590/1000</f>
        <v>112.59</v>
      </c>
      <c r="W7" s="757">
        <f>231375/1000</f>
        <v>231.375</v>
      </c>
      <c r="X7" s="755">
        <v>0</v>
      </c>
      <c r="Y7" s="751">
        <v>744270.28</v>
      </c>
      <c r="Z7" s="751">
        <f>3970983.09/1000</f>
        <v>3970.9830899999997</v>
      </c>
      <c r="AA7" s="763">
        <v>2.9</v>
      </c>
      <c r="AB7" s="104">
        <f>'3. DMF Progress'!AD38</f>
        <v>4.3112918466666663</v>
      </c>
      <c r="AC7" s="104">
        <f>'2. IAs Progress'!P59</f>
        <v>17.719813615555559</v>
      </c>
      <c r="AD7" s="104">
        <f>'1. MEF Progress'!I21</f>
        <v>16.721753101222227</v>
      </c>
      <c r="AG7" s="104">
        <f>'Output 1'!Z58</f>
        <v>3.1211199999999999</v>
      </c>
      <c r="AH7" s="104">
        <f>'Output 2 '!AA57</f>
        <v>5.165</v>
      </c>
      <c r="AI7" s="104">
        <f>'Output 3'!Z46</f>
        <v>0</v>
      </c>
    </row>
    <row r="8" spans="19:35" ht="17.25">
      <c r="S8" s="748">
        <v>4</v>
      </c>
      <c r="T8" s="750">
        <v>44287</v>
      </c>
      <c r="U8" s="752">
        <f>3822030.96/1000</f>
        <v>3822.0309600000001</v>
      </c>
      <c r="V8" s="758">
        <f>103368.59/1000</f>
        <v>103.36859</v>
      </c>
      <c r="W8" s="759">
        <f>89123.42/1000</f>
        <v>89.123419999999996</v>
      </c>
      <c r="X8" s="755">
        <v>0</v>
      </c>
      <c r="Y8" s="751">
        <v>849898.42</v>
      </c>
      <c r="Z8" s="751">
        <f>4014522.97/1000</f>
        <v>4014.52297</v>
      </c>
      <c r="AA8" s="763">
        <v>2.9</v>
      </c>
      <c r="AB8" s="104">
        <f>'3. DMF Progress'!AF38</f>
        <v>5.1005497222222216</v>
      </c>
      <c r="AC8" s="104">
        <f>'2. IAs Progress'!S59</f>
        <v>22.820363337777778</v>
      </c>
      <c r="AD8" s="104">
        <f>'1. MEF Progress'!J21</f>
        <v>21.690117823444449</v>
      </c>
      <c r="AG8" s="104">
        <f>'Output 1'!AI58</f>
        <v>8.48</v>
      </c>
      <c r="AH8" s="104">
        <f>'Output 2 '!AJ57</f>
        <v>37.5</v>
      </c>
      <c r="AI8" s="104">
        <f>'Output 3'!AI46</f>
        <v>0</v>
      </c>
    </row>
    <row r="9" spans="19:35" ht="17.25">
      <c r="S9" s="748">
        <v>5</v>
      </c>
      <c r="T9" s="750">
        <v>44317</v>
      </c>
      <c r="U9" s="752">
        <f>4003875.07/1000</f>
        <v>4003.8750700000001</v>
      </c>
      <c r="V9" s="758">
        <f>201832/1000</f>
        <v>201.83199999999999</v>
      </c>
      <c r="W9" s="759">
        <f>89123.42/1000</f>
        <v>89.123419999999996</v>
      </c>
      <c r="X9" s="755">
        <v>0</v>
      </c>
      <c r="Y9" s="751">
        <v>1130206.53</v>
      </c>
      <c r="Z9" s="751">
        <f>4294830.49/1000</f>
        <v>4294.8304900000003</v>
      </c>
      <c r="AA9" s="763">
        <v>3.1</v>
      </c>
      <c r="AB9" s="104">
        <f>'3. DMF Progress'!AG38</f>
        <v>3.4975111111111117</v>
      </c>
      <c r="AC9" s="104">
        <f>'2. IAs Progress'!V59</f>
        <v>26.31787444888889</v>
      </c>
      <c r="AD9" s="104">
        <f>'1. MEF Progress'!K21</f>
        <v>24.966808934555562</v>
      </c>
      <c r="AG9" s="104">
        <f>'Output 1'!AQ58</f>
        <v>9.6000000000000014</v>
      </c>
      <c r="AH9" s="104">
        <f>'Output 2 '!AR57</f>
        <v>10</v>
      </c>
      <c r="AI9" s="104">
        <f>'Output 3'!AQ46</f>
        <v>0</v>
      </c>
    </row>
    <row r="10" spans="19:35" ht="17.25">
      <c r="S10" s="748">
        <v>6</v>
      </c>
      <c r="T10" s="750">
        <v>44348</v>
      </c>
      <c r="U10" s="752">
        <f>4279650.46/1000</f>
        <v>4279.6504599999998</v>
      </c>
      <c r="V10" s="758">
        <f>201832/1000</f>
        <v>201.83199999999999</v>
      </c>
      <c r="W10" s="759">
        <f>89123.42/1000</f>
        <v>89.123419999999996</v>
      </c>
      <c r="X10" s="755">
        <v>0</v>
      </c>
      <c r="Y10" s="751">
        <v>1405981.92</v>
      </c>
      <c r="Z10" s="751">
        <f>4570605.88/1000</f>
        <v>4570.6058800000001</v>
      </c>
      <c r="AA10" s="763">
        <v>3.3</v>
      </c>
      <c r="AB10" s="104">
        <f>'3. DMF Progress'!AH38</f>
        <v>6.3988259329573944</v>
      </c>
      <c r="AC10" s="104">
        <f>'2. IAs Progress'!Y59</f>
        <v>32.71670038184628</v>
      </c>
      <c r="AD10" s="104">
        <f>'1. MEF Progress'!L21</f>
        <v>30.916761534179614</v>
      </c>
      <c r="AG10" s="104">
        <f>'Output 1'!AY58</f>
        <v>1.8199999999999998</v>
      </c>
      <c r="AH10" s="104">
        <f>'Output 2 '!AZ57</f>
        <v>0</v>
      </c>
      <c r="AI10" s="104">
        <f>'Output 3'!AY46</f>
        <v>11</v>
      </c>
    </row>
    <row r="11" spans="19:35">
      <c r="T11" t="s">
        <v>349</v>
      </c>
      <c r="AA11" s="763"/>
      <c r="AB11"/>
      <c r="AG11">
        <v>100</v>
      </c>
      <c r="AH11">
        <v>100</v>
      </c>
      <c r="AI11">
        <v>100</v>
      </c>
    </row>
  </sheetData>
  <pageMargins left="0.7" right="0.7" top="0.75" bottom="0.75" header="0.3" footer="0.3"/>
  <pageSetup scale="65" orientation="landscape"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MEF format (Annex 1)</vt:lpstr>
      <vt:lpstr>OVER VIEW (Annex 2)</vt:lpstr>
      <vt:lpstr>Instruction</vt:lpstr>
      <vt:lpstr>DMF PI Links Physical Prog.S1</vt:lpstr>
      <vt:lpstr>1. MEF Progress Interpretation</vt:lpstr>
      <vt:lpstr>1. MEF Progress</vt:lpstr>
      <vt:lpstr>2. IAs Progress</vt:lpstr>
      <vt:lpstr>3. DMF Progress</vt:lpstr>
      <vt:lpstr>Output 1</vt:lpstr>
      <vt:lpstr>Output 2 </vt:lpstr>
      <vt:lpstr>Output 3</vt:lpstr>
      <vt:lpstr>DMF PI 1st 6Ms Report 2021</vt:lpstr>
      <vt:lpstr>DMF PI Q3 Report 2021</vt:lpstr>
      <vt:lpstr>DMF PI Q4 Report 2021</vt:lpstr>
      <vt:lpstr>GAP PI 1st 6Ms Report 2021-1</vt:lpstr>
      <vt:lpstr>Curves</vt:lpstr>
      <vt:lpstr>'1. MEF Progress'!Print_Area</vt:lpstr>
      <vt:lpstr>'1. MEF Progress Interpretation'!Print_Area</vt:lpstr>
      <vt:lpstr>'2. IAs Progress'!Print_Area</vt:lpstr>
      <vt:lpstr>'3. DMF Progress'!Print_Area</vt:lpstr>
      <vt:lpstr>Curves!Print_Area</vt:lpstr>
      <vt:lpstr>'DMF PI 1st 6Ms Report 2021'!Print_Area</vt:lpstr>
      <vt:lpstr>'DMF PI Links Physical Prog.S1'!Print_Area</vt:lpstr>
      <vt:lpstr>'DMF PI Q3 Report 2021'!Print_Area</vt:lpstr>
      <vt:lpstr>'DMF PI Q4 Report 2021'!Print_Area</vt:lpstr>
      <vt:lpstr>'GAP PI 1st 6Ms Report 2021-1'!Print_Area</vt:lpstr>
      <vt:lpstr>Instruction!Print_Area</vt:lpstr>
      <vt:lpstr>'MEF format (Annex 1)'!Print_Area</vt:lpstr>
      <vt:lpstr>'Output 1'!Print_Area</vt:lpstr>
      <vt:lpstr>'Output 2 '!Print_Area</vt:lpstr>
      <vt:lpstr>'Output 3'!Print_Area</vt:lpstr>
      <vt:lpstr>'OVER VIEW (Annex 2)'!Print_Area</vt:lpstr>
      <vt:lpstr>'2. IAs Progress'!Print_Titles</vt:lpstr>
      <vt:lpstr>'3. DMF Progress'!Print_Titles</vt:lpstr>
      <vt:lpstr>'DMF PI 1st 6Ms Report 2021'!Print_Titles</vt:lpstr>
      <vt:lpstr>'DMF PI Links Physical Prog.S1'!Print_Titles</vt:lpstr>
      <vt:lpstr>'DMF PI Q3 Report 2021'!Print_Titles</vt:lpstr>
      <vt:lpstr>'DMF PI Q4 Report 2021'!Print_Titles</vt:lpstr>
      <vt:lpstr>'GAP PI 1st 6Ms Report 2021-1'!Print_Titles</vt:lpstr>
      <vt:lpstr>'Output 1'!Print_Titles</vt:lpstr>
      <vt:lpstr>'Output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Dinesh Kumar Shrestha</dc:creator>
  <cp:lastModifiedBy>Bunny</cp:lastModifiedBy>
  <cp:lastPrinted>2021-10-21T09:48:37Z</cp:lastPrinted>
  <dcterms:created xsi:type="dcterms:W3CDTF">2020-05-17T01:03:10Z</dcterms:created>
  <dcterms:modified xsi:type="dcterms:W3CDTF">2021-11-12T02:33:43Z</dcterms:modified>
</cp:coreProperties>
</file>